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25" firstSheet="25" activeTab="25"/>
  </bookViews>
  <sheets>
    <sheet name="设计图" sheetId="1" state="hidden" r:id="rId1"/>
    <sheet name="估料单D1-1" sheetId="3" state="hidden" r:id="rId2"/>
    <sheet name="估料单D1-2" sheetId="4" state="hidden" r:id="rId3"/>
    <sheet name="估料单D1-3" sheetId="5" state="hidden" r:id="rId4"/>
    <sheet name="估料单D1-4" sheetId="6" state="hidden" r:id="rId5"/>
    <sheet name="估料单D2-1" sheetId="8" state="hidden" r:id="rId6"/>
    <sheet name="估料单D2-2 " sheetId="14" state="hidden" r:id="rId7"/>
    <sheet name="汇总表" sheetId="17" state="hidden" r:id="rId8"/>
    <sheet name="估料单D1-1 (修正)" sheetId="9" state="hidden" r:id="rId9"/>
    <sheet name="估料单D1-2 (修正)" sheetId="10" state="hidden" r:id="rId10"/>
    <sheet name="估料单D1-3 (修正)" sheetId="11" state="hidden" r:id="rId11"/>
    <sheet name="估料单D1-4 (修正)" sheetId="12" state="hidden" r:id="rId12"/>
    <sheet name="估料单D2-1 (修正)" sheetId="15" state="hidden" r:id="rId13"/>
    <sheet name="估料单D2-2  (修正)" sheetId="16" state="hidden" r:id="rId14"/>
    <sheet name="第11-17联 (汇总)" sheetId="21" state="hidden" r:id="rId15"/>
    <sheet name="新D栈道" sheetId="18" state="hidden" r:id="rId16"/>
    <sheet name="旧D栈道" sheetId="19" state="hidden" r:id="rId17"/>
    <sheet name="隔板汇总" sheetId="20" state="hidden" r:id="rId18"/>
    <sheet name="嵌补" sheetId="24" state="hidden" r:id="rId19"/>
    <sheet name="隔板统计" sheetId="28" state="hidden" r:id="rId20"/>
    <sheet name="D桥估料表" sheetId="27" state="hidden" r:id="rId21"/>
    <sheet name="腹板侧边板统计" sheetId="23" state="hidden" r:id="rId22"/>
    <sheet name="A" sheetId="25" state="hidden" r:id="rId23"/>
    <sheet name="D1估料单" sheetId="29" state="hidden" r:id="rId24"/>
    <sheet name="排版" sheetId="22" state="hidden" r:id="rId25"/>
    <sheet name="嵌补估料单3.14" sheetId="26" r:id="rId26"/>
    <sheet name="D2估料单" sheetId="30" r:id="rId27"/>
    <sheet name="D3估料单" sheetId="31" r:id="rId28"/>
    <sheet name="D4估料单" sheetId="32" r:id="rId29"/>
    <sheet name="D7估料单" sheetId="35" r:id="rId30"/>
    <sheet name="D8估料单 " sheetId="36" r:id="rId31"/>
    <sheet name="D9估料单" sheetId="37" r:id="rId32"/>
    <sheet name="D10估料单" sheetId="38" r:id="rId33"/>
    <sheet name="D11估料单 " sheetId="39" r:id="rId34"/>
    <sheet name="D12估料单 " sheetId="40" r:id="rId35"/>
    <sheet name="D13估料单 " sheetId="41" r:id="rId36"/>
    <sheet name="D14估料单 " sheetId="42" r:id="rId37"/>
    <sheet name="D15估料单" sheetId="33" r:id="rId38"/>
    <sheet name="D16估料单 " sheetId="34" r:id="rId39"/>
    <sheet name="D17估料单" sheetId="43" r:id="rId40"/>
    <sheet name="D18估料单 " sheetId="44" r:id="rId41"/>
    <sheet name="A1估料单" sheetId="45" r:id="rId42"/>
    <sheet name="Sheet1" sheetId="47" state="hidden" r:id="rId43"/>
    <sheet name="D2-18" sheetId="46" state="hidden" r:id="rId44"/>
    <sheet name="WpsReserved_CellImgList" sheetId="2" state="veryHidden" r:id="rId45"/>
  </sheets>
  <externalReferences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</externalReferences>
  <definedNames>
    <definedName name="_xlnm._FilterDatabase" localSheetId="1" hidden="1">'估料单D1-1'!$A$4:$L$66</definedName>
    <definedName name="_xlnm._FilterDatabase" localSheetId="2" hidden="1">'估料单D1-2'!$A$4:$L$89</definedName>
    <definedName name="_xlnm._FilterDatabase" localSheetId="3" hidden="1">'估料单D1-3'!$A$4:$L$68</definedName>
    <definedName name="_xlnm._FilterDatabase" localSheetId="4" hidden="1">'估料单D1-4'!$A$4:$L$61</definedName>
    <definedName name="_xlnm._FilterDatabase" localSheetId="5" hidden="1">'估料单D2-1'!$A$4:$L$98</definedName>
    <definedName name="_xlnm._FilterDatabase" localSheetId="6" hidden="1">'估料单D2-2 '!$A$4:$L$90</definedName>
    <definedName name="_xlnm._FilterDatabase" localSheetId="8" hidden="1">'估料单D1-1 (修正)'!$A$5:$J$64</definedName>
    <definedName name="_xlnm._FilterDatabase" localSheetId="9" hidden="1">'估料单D1-2 (修正)'!$A$5:$J$62</definedName>
    <definedName name="_xlnm._FilterDatabase" localSheetId="10" hidden="1">'估料单D1-3 (修正)'!$A$5:$J$68</definedName>
    <definedName name="_xlnm._FilterDatabase" localSheetId="11" hidden="1">'估料单D1-4 (修正)'!$A$5:$J$53</definedName>
    <definedName name="_xlnm._FilterDatabase" localSheetId="12" hidden="1">'估料单D2-1 (修正)'!$A$5:$J$71</definedName>
    <definedName name="_xlnm._FilterDatabase" localSheetId="13" hidden="1">'估料单D2-2  (修正)'!$A$5:$L$80</definedName>
    <definedName name="_xlnm._FilterDatabase" localSheetId="14" hidden="1">'第11-17联 (汇总)'!$A$3:$H$73</definedName>
    <definedName name="_xlnm._FilterDatabase" localSheetId="15" hidden="1">新D栈道!$A$1:$H$184</definedName>
    <definedName name="_xlnm._FilterDatabase" localSheetId="16" hidden="1">旧D栈道!$A$1:$J$64</definedName>
    <definedName name="_xlnm._FilterDatabase" localSheetId="18" hidden="1">嵌补!$A$1:$V$145</definedName>
    <definedName name="_xlnm._FilterDatabase" localSheetId="19" hidden="1">隔板统计!$A$1:$G$14</definedName>
    <definedName name="_xlnm._FilterDatabase" localSheetId="20" hidden="1">D桥估料表!$A$1:$P$231</definedName>
    <definedName name="_xlnm._FilterDatabase" localSheetId="22" hidden="1">A!$A$1:$D$18</definedName>
    <definedName name="_xlnm._FilterDatabase" localSheetId="23" hidden="1">D1估料单!$A$5:$J$9</definedName>
    <definedName name="_xlnm._FilterDatabase" localSheetId="24" hidden="1">排版!$A$1:$AD$202</definedName>
    <definedName name="_xlnm._FilterDatabase" localSheetId="26" hidden="1">D2估料单!$A$5:$J$42</definedName>
    <definedName name="_xlnm._FilterDatabase" localSheetId="27" hidden="1">D3估料单!$A$5:$J$41</definedName>
    <definedName name="_xlnm._FilterDatabase" localSheetId="28" hidden="1">D4估料单!$A$5:$J$48</definedName>
    <definedName name="_xlnm._FilterDatabase" localSheetId="29" hidden="1">D7估料单!$A$5:$J$51</definedName>
    <definedName name="_xlnm._FilterDatabase" localSheetId="30" hidden="1">'D8估料单 '!$A$5:$J$39</definedName>
    <definedName name="_xlnm._FilterDatabase" localSheetId="31" hidden="1">D9估料单!$A$5:$J$57</definedName>
    <definedName name="_xlnm._FilterDatabase" localSheetId="32" hidden="1">D10估料单!$A$5:$J$54</definedName>
    <definedName name="_xlnm._FilterDatabase" localSheetId="33" hidden="1">'D11估料单 '!$A$5:$J$52</definedName>
    <definedName name="_xlnm._FilterDatabase" localSheetId="34" hidden="1">'D12估料单 '!$A$5:$J$56</definedName>
    <definedName name="_xlnm._FilterDatabase" localSheetId="35" hidden="1">'D13估料单 '!$A$5:$J$45</definedName>
    <definedName name="_xlnm._FilterDatabase" localSheetId="36" hidden="1">'D14估料单 '!$A$5:$J$47</definedName>
    <definedName name="_xlnm._FilterDatabase" localSheetId="37" hidden="1">D15估料单!$A$5:$J$37</definedName>
    <definedName name="_xlnm._FilterDatabase" localSheetId="38" hidden="1">'D16估料单 '!$A$5:$J$61</definedName>
    <definedName name="_xlnm._FilterDatabase" localSheetId="39" hidden="1">D17估料单!$A$5:$J$43</definedName>
    <definedName name="_xlnm._FilterDatabase" localSheetId="40" hidden="1">'D18估料单 '!$A$5:$J$46</definedName>
    <definedName name="_xlnm._FilterDatabase" localSheetId="0" hidden="1">设计图!#REF!</definedName>
    <definedName name="_xlnm.Print_Titles" localSheetId="26">D2估料单!$4:$4</definedName>
    <definedName name="_xlnm.Print_Area" localSheetId="26">D2估料单!$4:$4</definedName>
    <definedName name="_xlnm.Print_Area" localSheetId="27">D3估料单!$4:$4</definedName>
    <definedName name="_xlnm.Print_Titles" localSheetId="27">D3估料单!$4:$4</definedName>
    <definedName name="_xlnm.Print_Titles" localSheetId="28">D4估料单!$4:$4</definedName>
    <definedName name="_xlnm.Print_Titles" localSheetId="30">'D8估料单 '!$4:$4</definedName>
    <definedName name="_xlnm.Print_Titles" localSheetId="31">D9估料单!$4:$4</definedName>
    <definedName name="_xlnm.Print_Titles" localSheetId="32">D10估料单!$4:$4</definedName>
    <definedName name="_xlnm.Print_Titles" localSheetId="33">'D11估料单 '!$4:$4</definedName>
    <definedName name="_xlnm.Print_Titles" localSheetId="34">'D12估料单 '!$4:$4</definedName>
    <definedName name="_xlnm.Print_Titles" localSheetId="35">'D13估料单 '!$4:$4</definedName>
    <definedName name="_xlnm.Print_Titles" localSheetId="36">'D14估料单 '!$4:$4</definedName>
    <definedName name="_xlnm.Print_Titles" localSheetId="37">D15估料单!$4:$4</definedName>
    <definedName name="_xlnm.Print_Titles" localSheetId="38">'D16估料单 '!$4:$4</definedName>
    <definedName name="_xlnm.Print_Titles" localSheetId="39">D17估料单!$4:$4</definedName>
    <definedName name="_xlnm.Print_Titles" localSheetId="40">'D18估料单 '!$4:$4</definedName>
    <definedName name="_xlnm.Print_Titles" localSheetId="41">A1估料单!$4:$4</definedName>
    <definedName name="_xlnm.Print_Titles" localSheetId="25">嵌补估料单3.14!$4:$4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<sst xmlns="http://schemas.openxmlformats.org/spreadsheetml/2006/main" count="11081" uniqueCount="1279">
  <si>
    <t>名称</t>
  </si>
  <si>
    <t>规格</t>
  </si>
  <si>
    <t>个数（块）</t>
  </si>
  <si>
    <t>数量</t>
  </si>
  <si>
    <t>厚度</t>
  </si>
  <si>
    <t>宽度</t>
  </si>
  <si>
    <t>长度</t>
  </si>
  <si>
    <t>重量</t>
  </si>
  <si>
    <t>厚度（mm）</t>
  </si>
  <si>
    <t>宽度（mm）</t>
  </si>
  <si>
    <t>长度（mm）</t>
  </si>
  <si>
    <t>面板</t>
  </si>
  <si>
    <t>纵梁</t>
  </si>
  <si>
    <t>600*340*16</t>
  </si>
  <si>
    <t>腹板</t>
  </si>
  <si>
    <t>内加筋板</t>
  </si>
  <si>
    <t>中隔板</t>
  </si>
  <si>
    <t>边隔板</t>
  </si>
  <si>
    <t>中底板</t>
  </si>
  <si>
    <t>侧边板</t>
  </si>
  <si>
    <t>施工材料预算表</t>
  </si>
  <si>
    <t>单位名称：福建省工业设备安装有限公司</t>
  </si>
  <si>
    <t>工程项目：莆田市凤凰福道D1-1联</t>
  </si>
  <si>
    <t>序号</t>
  </si>
  <si>
    <t>材质</t>
  </si>
  <si>
    <t>厚/mm</t>
  </si>
  <si>
    <t>宽/mm</t>
  </si>
  <si>
    <t>长/mm</t>
  </si>
  <si>
    <t>单位</t>
  </si>
  <si>
    <t>总重/kg</t>
  </si>
  <si>
    <t>备注</t>
  </si>
  <si>
    <t>钢板</t>
  </si>
  <si>
    <t>Q355B</t>
  </si>
  <si>
    <t>张</t>
  </si>
  <si>
    <t>底板</t>
  </si>
  <si>
    <t>小面板</t>
  </si>
  <si>
    <t>纵面底板</t>
  </si>
  <si>
    <t>Q356B</t>
  </si>
  <si>
    <t>嵌补</t>
  </si>
  <si>
    <t>Q357B</t>
  </si>
  <si>
    <t>合计</t>
  </si>
  <si>
    <t>备注：钢材性能应符合标准《低合金高强度结构钢》（GB/T 1591-2018）</t>
  </si>
  <si>
    <t>说明：图纸理论重量为149600KG,采购重量为156218KG,损耗率4.2%</t>
  </si>
  <si>
    <t>申请：                                     审核：                                    批准：                                       日期：</t>
  </si>
  <si>
    <t>工程项目：莆田市凤凰福道D1-2联</t>
  </si>
  <si>
    <t>说明：图纸理论重量为175711KG,采购重量为183974KG,损耗率4.7%</t>
  </si>
  <si>
    <t>工程项目：莆田市凤凰福道D1-3联</t>
  </si>
  <si>
    <t>说明：图纸理论重量为151377KG,采购重量为157606KG,损耗率4.1%</t>
  </si>
  <si>
    <t>工程项目：莆田市凤凰福道D1-4联</t>
  </si>
  <si>
    <t>说明：图纸理论重量为113304KG,采购重量为118582KG,损耗率4.6%</t>
  </si>
  <si>
    <t>工程项目：莆田市凤凰福道D2-1联</t>
  </si>
  <si>
    <t>说明：图纸理论重量为187035KG,采购重量为195529KG,损耗率4.5%</t>
  </si>
  <si>
    <t>嵌补2</t>
  </si>
  <si>
    <t>说明：图纸理论重量为186771KG,采购重量为194786KG,损耗率4.3%</t>
  </si>
  <si>
    <t>主线D估料单汇总表</t>
  </si>
  <si>
    <t>联次</t>
  </si>
  <si>
    <t>理论重量</t>
  </si>
  <si>
    <t>中厚板（双定尺）</t>
  </si>
  <si>
    <t>开平板</t>
  </si>
  <si>
    <t>估料数量</t>
  </si>
  <si>
    <t>估料重量</t>
  </si>
  <si>
    <t>损耗率</t>
  </si>
  <si>
    <t>D1-1</t>
  </si>
  <si>
    <t>D1-2</t>
  </si>
  <si>
    <t>D1-3</t>
  </si>
  <si>
    <t>D1-4</t>
  </si>
  <si>
    <t>D2-1</t>
  </si>
  <si>
    <t>D2-2</t>
  </si>
  <si>
    <t>福 建 省 工 业 设 备 安 装 有 限 公 司</t>
  </si>
  <si>
    <r>
      <rPr>
        <sz val="12"/>
        <rFont val="Calibri"/>
        <charset val="134"/>
      </rPr>
      <t>D1-1</t>
    </r>
    <r>
      <rPr>
        <sz val="12"/>
        <rFont val="宋体"/>
        <charset val="134"/>
      </rPr>
      <t>隔板</t>
    </r>
    <r>
      <rPr>
        <sz val="12"/>
        <rFont val="Calibri"/>
        <charset val="134"/>
      </rPr>
      <t>2</t>
    </r>
  </si>
  <si>
    <r>
      <rPr>
        <sz val="12"/>
        <rFont val="Calibri"/>
        <charset val="134"/>
      </rPr>
      <t>D1-1</t>
    </r>
    <r>
      <rPr>
        <sz val="12"/>
        <rFont val="宋体"/>
        <charset val="134"/>
      </rPr>
      <t>隔板</t>
    </r>
    <r>
      <rPr>
        <sz val="12"/>
        <rFont val="Calibri"/>
        <charset val="134"/>
      </rPr>
      <t>1</t>
    </r>
  </si>
  <si>
    <r>
      <rPr>
        <sz val="12"/>
        <rFont val="Calibri"/>
        <charset val="134"/>
      </rPr>
      <t>D1-1</t>
    </r>
    <r>
      <rPr>
        <sz val="12"/>
        <rFont val="宋体"/>
        <charset val="134"/>
      </rPr>
      <t>隔板</t>
    </r>
    <r>
      <rPr>
        <sz val="12"/>
        <rFont val="Calibri"/>
        <charset val="134"/>
      </rPr>
      <t>0</t>
    </r>
  </si>
  <si>
    <t>D1</t>
  </si>
  <si>
    <t>说明：图纸理论重量为149600KG,采购重量为161169KG,损耗率7.7%</t>
  </si>
  <si>
    <t>申请：                                    审核：                                         批准：                                          日期：</t>
  </si>
  <si>
    <r>
      <rPr>
        <sz val="12"/>
        <rFont val="Calibri"/>
        <charset val="134"/>
      </rPr>
      <t>D1-2</t>
    </r>
    <r>
      <rPr>
        <sz val="12"/>
        <rFont val="宋体"/>
        <charset val="134"/>
      </rPr>
      <t>隔板</t>
    </r>
    <r>
      <rPr>
        <sz val="12"/>
        <rFont val="Calibri"/>
        <charset val="134"/>
      </rPr>
      <t>2</t>
    </r>
  </si>
  <si>
    <r>
      <rPr>
        <sz val="12"/>
        <rFont val="Calibri"/>
        <charset val="134"/>
      </rPr>
      <t>D1-2</t>
    </r>
    <r>
      <rPr>
        <sz val="12"/>
        <rFont val="宋体"/>
        <charset val="134"/>
      </rPr>
      <t>隔板</t>
    </r>
    <r>
      <rPr>
        <sz val="12"/>
        <rFont val="Calibri"/>
        <charset val="134"/>
      </rPr>
      <t>1</t>
    </r>
  </si>
  <si>
    <r>
      <rPr>
        <sz val="12"/>
        <rFont val="Calibri"/>
        <charset val="134"/>
      </rPr>
      <t>D1-2</t>
    </r>
    <r>
      <rPr>
        <sz val="12"/>
        <rFont val="宋体"/>
        <charset val="134"/>
      </rPr>
      <t>隔板</t>
    </r>
    <r>
      <rPr>
        <sz val="12"/>
        <rFont val="Calibri"/>
        <charset val="134"/>
      </rPr>
      <t>0</t>
    </r>
  </si>
  <si>
    <t>D2</t>
  </si>
  <si>
    <t>说明：图纸理论重量为175711KG,采购重量为189590KG,损耗率7.9%</t>
  </si>
  <si>
    <r>
      <rPr>
        <sz val="12"/>
        <rFont val="Calibri"/>
        <charset val="134"/>
      </rPr>
      <t>D1-3</t>
    </r>
    <r>
      <rPr>
        <sz val="12"/>
        <rFont val="宋体"/>
        <charset val="134"/>
      </rPr>
      <t>隔板</t>
    </r>
    <r>
      <rPr>
        <sz val="12"/>
        <rFont val="Calibri"/>
        <charset val="134"/>
      </rPr>
      <t>2</t>
    </r>
  </si>
  <si>
    <r>
      <rPr>
        <sz val="12"/>
        <rFont val="Calibri"/>
        <charset val="134"/>
      </rPr>
      <t>D1-3</t>
    </r>
    <r>
      <rPr>
        <sz val="12"/>
        <rFont val="宋体"/>
        <charset val="134"/>
      </rPr>
      <t>隔板</t>
    </r>
    <r>
      <rPr>
        <sz val="12"/>
        <rFont val="Calibri"/>
        <charset val="134"/>
      </rPr>
      <t>0</t>
    </r>
  </si>
  <si>
    <r>
      <rPr>
        <sz val="12"/>
        <rFont val="Calibri"/>
        <charset val="134"/>
      </rPr>
      <t>D1-3</t>
    </r>
    <r>
      <rPr>
        <sz val="12"/>
        <rFont val="宋体"/>
        <charset val="134"/>
      </rPr>
      <t>隔板</t>
    </r>
    <r>
      <rPr>
        <sz val="12"/>
        <rFont val="Calibri"/>
        <charset val="134"/>
      </rPr>
      <t>1</t>
    </r>
  </si>
  <si>
    <t>AG-1</t>
  </si>
  <si>
    <t>D3</t>
  </si>
  <si>
    <t>说明：图纸理论重量为151377KG,采购重量为161575KG,损耗率6.7%</t>
  </si>
  <si>
    <r>
      <rPr>
        <sz val="12"/>
        <rFont val="Calibri"/>
        <charset val="134"/>
      </rPr>
      <t>D1-4</t>
    </r>
    <r>
      <rPr>
        <sz val="12"/>
        <rFont val="宋体"/>
        <charset val="134"/>
      </rPr>
      <t>隔板</t>
    </r>
    <r>
      <rPr>
        <sz val="12"/>
        <rFont val="Calibri"/>
        <charset val="134"/>
      </rPr>
      <t>2</t>
    </r>
  </si>
  <si>
    <r>
      <rPr>
        <sz val="12"/>
        <rFont val="Calibri"/>
        <charset val="134"/>
      </rPr>
      <t>D1-4</t>
    </r>
    <r>
      <rPr>
        <sz val="12"/>
        <rFont val="宋体"/>
        <charset val="134"/>
      </rPr>
      <t>隔板</t>
    </r>
    <r>
      <rPr>
        <sz val="12"/>
        <rFont val="Calibri"/>
        <charset val="134"/>
      </rPr>
      <t>1</t>
    </r>
  </si>
  <si>
    <r>
      <rPr>
        <sz val="12"/>
        <rFont val="Calibri"/>
        <charset val="134"/>
      </rPr>
      <t>D1-4</t>
    </r>
    <r>
      <rPr>
        <sz val="12"/>
        <rFont val="宋体"/>
        <charset val="134"/>
      </rPr>
      <t>隔板</t>
    </r>
    <r>
      <rPr>
        <sz val="12"/>
        <rFont val="Calibri"/>
        <charset val="134"/>
      </rPr>
      <t>0</t>
    </r>
  </si>
  <si>
    <t>D4</t>
  </si>
  <si>
    <t>说明：图纸理论重量为113304KG,采购重量为121052KG,损耗率6.8%</t>
  </si>
  <si>
    <t>说明：图纸理论重量为187035KG,采购重量为200527KG,损耗率7.2%</t>
  </si>
  <si>
    <t>工程项目：莆田市凤凰福道D2-2联</t>
  </si>
  <si>
    <t>说明：图纸理论重量为186771KG,采购重量为199584KG,损耗率6.8%</t>
  </si>
  <si>
    <t>新D线栈道第十一联</t>
  </si>
  <si>
    <t>估料</t>
  </si>
  <si>
    <t>16</t>
  </si>
  <si>
    <t>1</t>
  </si>
  <si>
    <t>11联</t>
  </si>
  <si>
    <t>12</t>
  </si>
  <si>
    <t>308</t>
  </si>
  <si>
    <t>568</t>
  </si>
  <si>
    <t>324</t>
  </si>
  <si>
    <t>482</t>
  </si>
  <si>
    <t>灯座顶板</t>
  </si>
  <si>
    <t>灯座端板</t>
  </si>
  <si>
    <t>两侧加劲</t>
  </si>
  <si>
    <t>12联</t>
  </si>
  <si>
    <t>13联</t>
  </si>
  <si>
    <t>14联</t>
  </si>
  <si>
    <t>15联</t>
  </si>
  <si>
    <t>16联</t>
  </si>
  <si>
    <t>17联</t>
  </si>
  <si>
    <t>第一联数量合计</t>
  </si>
  <si>
    <t>1.5%焊缝重（t）</t>
  </si>
  <si>
    <t>上部箱梁Q355B钢合计（t）</t>
  </si>
  <si>
    <t>现浇层HRB400钢筋（t）</t>
  </si>
  <si>
    <t>双丙聚氨酯密封处理（含防滑颗粒）（m2）</t>
  </si>
  <si>
    <t>C25彩色透水混凝土（m3）</t>
  </si>
  <si>
    <t>DPS防水层（m2）</t>
  </si>
  <si>
    <t>C40防水混凝土（m3）</t>
  </si>
  <si>
    <t>第二联数量合计</t>
  </si>
  <si>
    <t>第三联数量合计</t>
  </si>
  <si>
    <t>第四联数量合计</t>
  </si>
  <si>
    <t>第七联数量合计</t>
  </si>
  <si>
    <t>第八联数量合计</t>
  </si>
  <si>
    <t>第九联数量合计</t>
  </si>
  <si>
    <t>第十联数量合计</t>
  </si>
  <si>
    <t>重量/kg</t>
  </si>
  <si>
    <t>厚度/mm</t>
  </si>
  <si>
    <t>宽度/mm</t>
  </si>
  <si>
    <t>长度/mm</t>
  </si>
  <si>
    <t>顶板</t>
  </si>
  <si>
    <r>
      <rPr>
        <sz val="11"/>
        <color theme="1"/>
        <rFont val="宋体"/>
        <charset val="134"/>
        <scheme val="minor"/>
      </rPr>
      <t>厚度/mm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16</t>
    </r>
  </si>
  <si>
    <r>
      <rPr>
        <sz val="11"/>
        <color theme="1"/>
        <rFont val="宋体"/>
        <charset val="134"/>
        <scheme val="minor"/>
      </rPr>
      <t>宽度/mm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400</t>
    </r>
  </si>
  <si>
    <r>
      <rPr>
        <sz val="11"/>
        <color theme="1"/>
        <rFont val="宋体"/>
        <charset val="134"/>
        <scheme val="minor"/>
      </rPr>
      <t>长度/mm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400</t>
    </r>
  </si>
  <si>
    <r>
      <rPr>
        <sz val="11"/>
        <color theme="1"/>
        <rFont val="宋体"/>
        <charset val="134"/>
        <scheme val="minor"/>
      </rPr>
      <t>第一联路灯底座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共5个</t>
    </r>
  </si>
  <si>
    <t>端板</t>
  </si>
  <si>
    <t>两侧加筋板</t>
  </si>
  <si>
    <t>1.5%焊缝重</t>
  </si>
  <si>
    <t>Q355B钢合计</t>
  </si>
  <si>
    <r>
      <rPr>
        <sz val="11"/>
        <color theme="1"/>
        <rFont val="宋体"/>
        <charset val="134"/>
        <scheme val="minor"/>
      </rPr>
      <t>第二联路灯底座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共5个</t>
    </r>
  </si>
  <si>
    <r>
      <rPr>
        <sz val="11"/>
        <color theme="1"/>
        <rFont val="宋体"/>
        <charset val="134"/>
        <scheme val="minor"/>
      </rPr>
      <t>第三联路灯底座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共5个</t>
    </r>
  </si>
  <si>
    <r>
      <rPr>
        <sz val="11"/>
        <color theme="1"/>
        <rFont val="宋体"/>
        <charset val="134"/>
        <scheme val="minor"/>
      </rPr>
      <t>第四联路灯底座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共5个</t>
    </r>
  </si>
  <si>
    <r>
      <rPr>
        <sz val="11"/>
        <color theme="1"/>
        <rFont val="宋体"/>
        <charset val="134"/>
        <scheme val="minor"/>
      </rPr>
      <t>第七联路灯底座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共5个</t>
    </r>
  </si>
  <si>
    <r>
      <rPr>
        <sz val="11"/>
        <color theme="1"/>
        <rFont val="宋体"/>
        <charset val="134"/>
        <scheme val="minor"/>
      </rPr>
      <t>第八联路灯底座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共5个</t>
    </r>
  </si>
  <si>
    <r>
      <rPr>
        <sz val="11"/>
        <color theme="1"/>
        <rFont val="宋体"/>
        <charset val="134"/>
        <scheme val="minor"/>
      </rPr>
      <t>第九联路灯底座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共5个</t>
    </r>
  </si>
  <si>
    <r>
      <rPr>
        <sz val="11"/>
        <color theme="1"/>
        <rFont val="宋体"/>
        <charset val="134"/>
        <scheme val="minor"/>
      </rPr>
      <t>第十联路灯底座</t>
    </r>
    <r>
      <rPr>
        <sz val="11"/>
        <color theme="1"/>
        <rFont val="宋体"/>
        <charset val="134"/>
        <scheme val="minor"/>
      </rPr>
      <t xml:space="preserve">
</t>
    </r>
    <r>
      <rPr>
        <sz val="11"/>
        <color theme="1"/>
        <rFont val="宋体"/>
        <charset val="134"/>
        <scheme val="minor"/>
      </rPr>
      <t>共5个</t>
    </r>
  </si>
  <si>
    <t>本表为第一联数量合计</t>
  </si>
  <si>
    <t>本表为第二联数量合计</t>
  </si>
  <si>
    <t>本表为第三联数量合计</t>
  </si>
  <si>
    <t>本表为第四联数量合计</t>
  </si>
  <si>
    <t>新1-10</t>
  </si>
  <si>
    <t>新11-17</t>
  </si>
  <si>
    <t>旧1-4</t>
  </si>
  <si>
    <t>所需数量</t>
  </si>
  <si>
    <t>厚</t>
  </si>
  <si>
    <t>宽</t>
  </si>
  <si>
    <t>长</t>
  </si>
  <si>
    <t>DA</t>
  </si>
  <si>
    <t>MB-2</t>
  </si>
  <si>
    <t>类型</t>
  </si>
  <si>
    <t>DB</t>
  </si>
  <si>
    <t>D1M</t>
  </si>
  <si>
    <t>ZM-1</t>
  </si>
  <si>
    <t>DC</t>
  </si>
  <si>
    <t>D1D</t>
  </si>
  <si>
    <t>MB-1</t>
  </si>
  <si>
    <t>DD</t>
  </si>
  <si>
    <t>DE</t>
  </si>
  <si>
    <t>D1Z</t>
  </si>
  <si>
    <t>DF</t>
  </si>
  <si>
    <t>DG</t>
  </si>
  <si>
    <t>DH</t>
  </si>
  <si>
    <t>D2M</t>
  </si>
  <si>
    <t>DI</t>
  </si>
  <si>
    <t>DJ</t>
  </si>
  <si>
    <t>DK</t>
  </si>
  <si>
    <t>D2D</t>
  </si>
  <si>
    <t>DL</t>
  </si>
  <si>
    <t>DM</t>
  </si>
  <si>
    <t>DN</t>
  </si>
  <si>
    <t>D2Z</t>
  </si>
  <si>
    <t>DO</t>
  </si>
  <si>
    <t>DP</t>
  </si>
  <si>
    <t>A</t>
  </si>
  <si>
    <t>D3M</t>
  </si>
  <si>
    <t>D3D</t>
  </si>
  <si>
    <t>D3Z</t>
  </si>
  <si>
    <t>D4M</t>
  </si>
  <si>
    <t>D4D</t>
  </si>
  <si>
    <t>D4Z</t>
  </si>
  <si>
    <t>D7M</t>
  </si>
  <si>
    <t>D7D</t>
  </si>
  <si>
    <t>D7Z</t>
  </si>
  <si>
    <t>D8M</t>
  </si>
  <si>
    <t>D8D</t>
  </si>
  <si>
    <t>D8Z</t>
  </si>
  <si>
    <t>D9M</t>
  </si>
  <si>
    <t>D9D</t>
  </si>
  <si>
    <t>D9Z</t>
  </si>
  <si>
    <t>D10M</t>
  </si>
  <si>
    <t>D10D</t>
  </si>
  <si>
    <t>D10Z</t>
  </si>
  <si>
    <t>D11M</t>
  </si>
  <si>
    <t>D11D</t>
  </si>
  <si>
    <t>D11Z</t>
  </si>
  <si>
    <t>D12M</t>
  </si>
  <si>
    <t>D12D</t>
  </si>
  <si>
    <t>D12Z</t>
  </si>
  <si>
    <t>D13M</t>
  </si>
  <si>
    <t>D13D</t>
  </si>
  <si>
    <t>D13Z</t>
  </si>
  <si>
    <t>D14M</t>
  </si>
  <si>
    <t>D14D</t>
  </si>
  <si>
    <t>D14Z</t>
  </si>
  <si>
    <t>D15M</t>
  </si>
  <si>
    <t>D15D</t>
  </si>
  <si>
    <t>D15Z</t>
  </si>
  <si>
    <t>D16M</t>
  </si>
  <si>
    <t>D16D</t>
  </si>
  <si>
    <t>D16Z</t>
  </si>
  <si>
    <t>D17M</t>
  </si>
  <si>
    <t>D17D</t>
  </si>
  <si>
    <t>D17Z</t>
  </si>
  <si>
    <t>D18M</t>
  </si>
  <si>
    <t>D18D</t>
  </si>
  <si>
    <t>D18Z</t>
  </si>
  <si>
    <t>400</t>
  </si>
  <si>
    <t>第一联</t>
  </si>
  <si>
    <t>1联估料</t>
  </si>
  <si>
    <t>纵梁顶底</t>
  </si>
  <si>
    <t>纵梁腹板</t>
  </si>
  <si>
    <t>已排</t>
  </si>
  <si>
    <t>内加筋</t>
  </si>
  <si>
    <t>第二联</t>
  </si>
  <si>
    <t>2联估料</t>
  </si>
  <si>
    <t>第三联</t>
  </si>
  <si>
    <t>3联估料</t>
  </si>
  <si>
    <t>第四联</t>
  </si>
  <si>
    <t>4联估料</t>
  </si>
  <si>
    <t>第五联</t>
  </si>
  <si>
    <t>第五联数量合计</t>
  </si>
  <si>
    <t>第六联</t>
  </si>
  <si>
    <t>第六联数量合计</t>
  </si>
  <si>
    <t>第七联</t>
  </si>
  <si>
    <t>7联估料</t>
  </si>
  <si>
    <t>第八联</t>
  </si>
  <si>
    <t>8联估料</t>
  </si>
  <si>
    <t>第九联</t>
  </si>
  <si>
    <t>9联估料</t>
  </si>
  <si>
    <t>第十联</t>
  </si>
  <si>
    <t>10联估料</t>
  </si>
  <si>
    <t>第十一联</t>
  </si>
  <si>
    <t>11联估料</t>
  </si>
  <si>
    <t>第十一联数量合计</t>
  </si>
  <si>
    <t>第十二联</t>
  </si>
  <si>
    <t>12联估料</t>
  </si>
  <si>
    <t>第十二联数量合计</t>
  </si>
  <si>
    <t>第十三联</t>
  </si>
  <si>
    <t>13联估料</t>
  </si>
  <si>
    <t>第十三联数量合计</t>
  </si>
  <si>
    <t>第十四联</t>
  </si>
  <si>
    <t>14联估料</t>
  </si>
  <si>
    <t>第十四联数量合计</t>
  </si>
  <si>
    <t>第十五联</t>
  </si>
  <si>
    <t>15联估料</t>
  </si>
  <si>
    <t>第十五联数量合计</t>
  </si>
  <si>
    <t>第十六联</t>
  </si>
  <si>
    <t>16联估料</t>
  </si>
  <si>
    <t>第十六联数量合计</t>
  </si>
  <si>
    <t>第十七联</t>
  </si>
  <si>
    <t>17联估料</t>
  </si>
  <si>
    <t>第十七联数量合计</t>
  </si>
  <si>
    <t>第十八联</t>
  </si>
  <si>
    <t>18联估料</t>
  </si>
  <si>
    <t>第十八联数量合计</t>
  </si>
  <si>
    <t>178</t>
  </si>
  <si>
    <t>381</t>
  </si>
  <si>
    <t>340</t>
  </si>
  <si>
    <t>FZ340</t>
  </si>
  <si>
    <t>CZ482</t>
  </si>
  <si>
    <t>CZ482*3</t>
  </si>
  <si>
    <t xml:space="preserve"> </t>
  </si>
  <si>
    <t>a</t>
  </si>
  <si>
    <t>工程项目：莆田市凤凰福道主线D第1联</t>
  </si>
  <si>
    <t>DAL</t>
  </si>
  <si>
    <t>4.12D1Z-1</t>
  </si>
  <si>
    <t>482*3</t>
  </si>
  <si>
    <t>4.12D1Z-2</t>
  </si>
  <si>
    <t>4.12D1Z-3</t>
  </si>
  <si>
    <t>28/29/30</t>
  </si>
  <si>
    <t>4.12D1Z-4</t>
  </si>
  <si>
    <t>4.12D1Z-5</t>
  </si>
  <si>
    <t>4.12D1Z-18</t>
  </si>
  <si>
    <t>4.12D1Z-6</t>
  </si>
  <si>
    <t>4.12D1Z-7</t>
  </si>
  <si>
    <t>4.12D1Z-8</t>
  </si>
  <si>
    <t>4.12D1Z-9</t>
  </si>
  <si>
    <t>4.12D1Z-10</t>
  </si>
  <si>
    <t>4.12D1Z-11</t>
  </si>
  <si>
    <t>4.12D1Z-12</t>
  </si>
  <si>
    <t>4.12D1Z-13</t>
  </si>
  <si>
    <t>340*5</t>
  </si>
  <si>
    <t>4.12D1Z-14</t>
  </si>
  <si>
    <t>4.12D1Z-15</t>
  </si>
  <si>
    <t>4.12D1Z-16</t>
  </si>
  <si>
    <t>DAM</t>
  </si>
  <si>
    <t>4.9D1M-1</t>
  </si>
  <si>
    <t>4.9D1M-2</t>
  </si>
  <si>
    <t>DAD</t>
  </si>
  <si>
    <t>4.9D1D-1</t>
  </si>
  <si>
    <t>4.9D1M-3</t>
  </si>
  <si>
    <t>4.9D1M-4</t>
  </si>
  <si>
    <t>4.9D1D-2</t>
  </si>
  <si>
    <t>4.9D1M-5</t>
  </si>
  <si>
    <t>4.9D1M-6</t>
  </si>
  <si>
    <t>4.9D1D-3</t>
  </si>
  <si>
    <t>4.9D1M-7</t>
  </si>
  <si>
    <t>4.9D1M-8</t>
  </si>
  <si>
    <t>4.9D1M-9</t>
  </si>
  <si>
    <t>4.9D1M-10</t>
  </si>
  <si>
    <t>4.9D1M-11</t>
  </si>
  <si>
    <t>4.9D1M-12</t>
  </si>
  <si>
    <t>4.12D1Z-17</t>
  </si>
  <si>
    <t>340*3+482*2</t>
  </si>
  <si>
    <t>4.9D1M-13</t>
  </si>
  <si>
    <t>4.9D1M-14</t>
  </si>
  <si>
    <t>D-2/D18</t>
  </si>
  <si>
    <t>4.15D2M-26</t>
  </si>
  <si>
    <t>D8</t>
  </si>
  <si>
    <t>4.15D8M-33</t>
  </si>
  <si>
    <t>4.15D8M-32</t>
  </si>
  <si>
    <t>D9</t>
  </si>
  <si>
    <t>4.15D9M-27</t>
  </si>
  <si>
    <t>4.15D9M-28</t>
  </si>
  <si>
    <t>4.15D9M-29</t>
  </si>
  <si>
    <t>4.15D4M-28</t>
  </si>
  <si>
    <t>D10</t>
  </si>
  <si>
    <t>D7</t>
  </si>
  <si>
    <t>4.15D7M-21</t>
  </si>
  <si>
    <t>4.15D7D-11</t>
  </si>
  <si>
    <t>4.15D4M-27</t>
  </si>
  <si>
    <t>4.15D7Z-12</t>
  </si>
  <si>
    <t>4.15D8M-34</t>
  </si>
  <si>
    <t>482*4</t>
  </si>
  <si>
    <t>4.9D1M-15</t>
  </si>
  <si>
    <t>4.15D10M-28</t>
  </si>
  <si>
    <t>4.9D1M-18</t>
  </si>
  <si>
    <t>4.15D2M-25</t>
  </si>
  <si>
    <t>4.9D1M-16</t>
  </si>
  <si>
    <t>4.15D10M-21</t>
  </si>
  <si>
    <t>4.15D2M-28</t>
  </si>
  <si>
    <t>4.15D2M-27</t>
  </si>
  <si>
    <t>4.15D2M-24</t>
  </si>
  <si>
    <t>4.12D1Z-19</t>
  </si>
  <si>
    <t>4.15D10M-20</t>
  </si>
  <si>
    <t>4.15D2M-23</t>
  </si>
  <si>
    <t>4.15D10D-12</t>
  </si>
  <si>
    <t>4.15D2D-10</t>
  </si>
  <si>
    <t>4.15D2D-11</t>
  </si>
  <si>
    <t>4.9D1M-17</t>
  </si>
  <si>
    <t>4.15D2D-12</t>
  </si>
  <si>
    <t>4.15D10M-19</t>
  </si>
  <si>
    <t>D2/D8</t>
  </si>
  <si>
    <t>4.15D2D-13</t>
  </si>
  <si>
    <t>4.15D8M-30</t>
  </si>
  <si>
    <t>4.9D1M-19</t>
  </si>
  <si>
    <t>4.15D10Z-10</t>
  </si>
  <si>
    <t>16/19</t>
  </si>
  <si>
    <t>4.9D1D-4</t>
  </si>
  <si>
    <t>4.9D1D-5</t>
  </si>
  <si>
    <t>不下</t>
  </si>
  <si>
    <t>4.9D1D-6</t>
  </si>
  <si>
    <t>4.15D10M-18</t>
  </si>
  <si>
    <t>4.15D2D-9</t>
  </si>
  <si>
    <t>4.15D10Z-12</t>
  </si>
  <si>
    <t>4.9D1M-20</t>
  </si>
  <si>
    <t>4.15D10D-11</t>
  </si>
  <si>
    <t>4.15D10M-24</t>
  </si>
  <si>
    <t>4.9D1D-7</t>
  </si>
  <si>
    <t>4.9D1D-8</t>
  </si>
  <si>
    <t>4.9D1D-9</t>
  </si>
  <si>
    <t>4.15D2Z-11</t>
  </si>
  <si>
    <t>4.15D4M-23</t>
  </si>
  <si>
    <t>4.12D1Z-20</t>
  </si>
  <si>
    <t>4.15D9D-12</t>
  </si>
  <si>
    <t>4.9D1M-21</t>
  </si>
  <si>
    <t>4.9D1D-10</t>
  </si>
  <si>
    <t>4.9D1D-11</t>
  </si>
  <si>
    <t>4.9D1D-12</t>
  </si>
  <si>
    <t>工程项目：莆田市凤凰福道嵌补</t>
  </si>
  <si>
    <t>灯座纵梁腹板</t>
  </si>
  <si>
    <t>DZ-1</t>
  </si>
  <si>
    <t>DZ-2</t>
  </si>
  <si>
    <t>QB-1</t>
  </si>
  <si>
    <t>QB-2</t>
  </si>
  <si>
    <t>QB-3</t>
  </si>
  <si>
    <t>QB-4</t>
  </si>
  <si>
    <t>QB-5</t>
  </si>
  <si>
    <t>QB-6</t>
  </si>
  <si>
    <t>说明：图纸理论重量为2116208.1 KG,采购重量为2217414.8KG,损耗率4.8 %</t>
  </si>
  <si>
    <t>D11</t>
  </si>
  <si>
    <t>D12</t>
  </si>
  <si>
    <t>D13</t>
  </si>
  <si>
    <t>D14</t>
  </si>
  <si>
    <t>D15</t>
  </si>
  <si>
    <t>D16</t>
  </si>
  <si>
    <t>D17</t>
  </si>
  <si>
    <t>D18</t>
  </si>
  <si>
    <t>A1</t>
  </si>
  <si>
    <t>工程项目：莆田市凤凰福道主线D第2联</t>
  </si>
  <si>
    <t>D2G-1</t>
  </si>
  <si>
    <t>D2G-2</t>
  </si>
  <si>
    <t>D2G-3</t>
  </si>
  <si>
    <t>D2G-4</t>
  </si>
  <si>
    <t>4.15D2M-18</t>
  </si>
  <si>
    <t>4.15D2M-12</t>
  </si>
  <si>
    <t>4.15D2M-13</t>
  </si>
  <si>
    <t>4.15D2M-14</t>
  </si>
  <si>
    <t>4.15D2M-15</t>
  </si>
  <si>
    <t>4.15D2M-16</t>
  </si>
  <si>
    <t>4.15D2M-17</t>
  </si>
  <si>
    <t>4.15D2M-9</t>
  </si>
  <si>
    <t>4.15D2M-10</t>
  </si>
  <si>
    <t>4.15D2M-11</t>
  </si>
  <si>
    <t>4.15D2M-8</t>
  </si>
  <si>
    <t>4.15D2M-7</t>
  </si>
  <si>
    <t>4.15D2M-4</t>
  </si>
  <si>
    <t>4.15D2M-5</t>
  </si>
  <si>
    <t>4.15D2M-6</t>
  </si>
  <si>
    <t>4.15D2D-4</t>
  </si>
  <si>
    <t>4.15D2D-5</t>
  </si>
  <si>
    <t>4.15D2D-6</t>
  </si>
  <si>
    <t>4.15D2M-1</t>
  </si>
  <si>
    <t>4.15D2M-2</t>
  </si>
  <si>
    <t>4.15D2M-3</t>
  </si>
  <si>
    <t>4.15D2D-1</t>
  </si>
  <si>
    <t>4.15D2D-3</t>
  </si>
  <si>
    <t>4.15D2D-2</t>
  </si>
  <si>
    <t>4.15D2M-22</t>
  </si>
  <si>
    <t>4.15D2M-21</t>
  </si>
  <si>
    <t>4.15D2Z-6</t>
  </si>
  <si>
    <t>4.15D2Z-5</t>
  </si>
  <si>
    <t>4.15D2Z-7</t>
  </si>
  <si>
    <t>4.15D2Z-4</t>
  </si>
  <si>
    <t>4.15D2Z-3</t>
  </si>
  <si>
    <t>4.15D2Z-2</t>
  </si>
  <si>
    <t>4.15D2M-20</t>
  </si>
  <si>
    <t>4.15D2Z-9</t>
  </si>
  <si>
    <t>4.15D2Z-10</t>
  </si>
  <si>
    <t>4.15D2M-19</t>
  </si>
  <si>
    <t>4.15D2Z-1</t>
  </si>
  <si>
    <t>4.15D2Z-8</t>
  </si>
  <si>
    <t>4.15D2D-8</t>
  </si>
  <si>
    <t>4.15D2D-7</t>
  </si>
  <si>
    <t>4.15D2Z-12</t>
  </si>
  <si>
    <t>申请：                                    审核：                                         批准：                                     日期：</t>
  </si>
  <si>
    <t>工程项目：莆田市凤凰福道主线D第3联</t>
  </si>
  <si>
    <t>边隔板D1</t>
  </si>
  <si>
    <t>D1G-1</t>
  </si>
  <si>
    <t>内加筋D1</t>
  </si>
  <si>
    <t>D1G-2</t>
  </si>
  <si>
    <t>中隔板D1</t>
  </si>
  <si>
    <t>D1G-3</t>
  </si>
  <si>
    <t>D1G-4</t>
  </si>
  <si>
    <t>4.15D3M-4</t>
  </si>
  <si>
    <t>4.15D3M-5</t>
  </si>
  <si>
    <t>4.15D3M-6</t>
  </si>
  <si>
    <t>4.15D3M-7</t>
  </si>
  <si>
    <t>4.15D3M-8</t>
  </si>
  <si>
    <t>4.15D3M-9</t>
  </si>
  <si>
    <t>4.15D3M-22</t>
  </si>
  <si>
    <t>4.10D3D-2</t>
  </si>
  <si>
    <t>4.10D3D-3</t>
  </si>
  <si>
    <t>4.10D3D-5</t>
  </si>
  <si>
    <t>4.10D3D-4</t>
  </si>
  <si>
    <t>4.15D3M-1</t>
  </si>
  <si>
    <t>4.15D3M-2</t>
  </si>
  <si>
    <t>4.15D3M-3</t>
  </si>
  <si>
    <t>4.15D3Z-11</t>
  </si>
  <si>
    <t>4.15D3M-18</t>
  </si>
  <si>
    <t>4.15D3M-19</t>
  </si>
  <si>
    <t>4.15D3M-16</t>
  </si>
  <si>
    <t>4.15D3M-12</t>
  </si>
  <si>
    <t>4.15D3M-13</t>
  </si>
  <si>
    <t>4.15D3M-14</t>
  </si>
  <si>
    <t>4.15D3M-15</t>
  </si>
  <si>
    <t>4.15D3Z-4</t>
  </si>
  <si>
    <t>4.15D3Z-7</t>
  </si>
  <si>
    <t>纵梁/面板</t>
  </si>
  <si>
    <t>4.15D3M-11</t>
  </si>
  <si>
    <t>4.15D3Z-9</t>
  </si>
  <si>
    <t>4.15D3Z-8</t>
  </si>
  <si>
    <t>4.15D3M-10</t>
  </si>
  <si>
    <t>4.15D3Z-6</t>
  </si>
  <si>
    <t>4.15D3Z-5</t>
  </si>
  <si>
    <t>纵梁/底板</t>
  </si>
  <si>
    <t>4.10D3D-8</t>
  </si>
  <si>
    <t>4.15D3Z-2</t>
  </si>
  <si>
    <t>4.10D3D-7</t>
  </si>
  <si>
    <t>4.10D3D-6</t>
  </si>
  <si>
    <t>4.10D3D-11</t>
  </si>
  <si>
    <t>4.10D3D-10</t>
  </si>
  <si>
    <t>4.10D3D-9</t>
  </si>
  <si>
    <t>4.15D3Z-10</t>
  </si>
  <si>
    <t>4.15D3Z-3</t>
  </si>
  <si>
    <t>4.15D3Z-1</t>
  </si>
  <si>
    <t>4.15D3M-21</t>
  </si>
  <si>
    <t>4.15D3M-20</t>
  </si>
  <si>
    <t>4.10D3D-12</t>
  </si>
  <si>
    <t>工程项目：莆田市凤凰福道主线D第4联</t>
  </si>
  <si>
    <t>D4G-1</t>
  </si>
  <si>
    <t>D4G-2</t>
  </si>
  <si>
    <t>D4G-3</t>
  </si>
  <si>
    <t>D4G-4</t>
  </si>
  <si>
    <t>4.10D4D-17</t>
  </si>
  <si>
    <t>4.10D4D-18</t>
  </si>
  <si>
    <t>4.10D4D-13</t>
  </si>
  <si>
    <t>4.10D4D-12</t>
  </si>
  <si>
    <t>4.15D4M-22</t>
  </si>
  <si>
    <t>4.15D4M-20</t>
  </si>
  <si>
    <t>4.10D4Z-15</t>
  </si>
  <si>
    <t>4.10D4D-11</t>
  </si>
  <si>
    <t>4.10D4D-10</t>
  </si>
  <si>
    <t>4.10D4Z-12</t>
  </si>
  <si>
    <t>4.15D4M-18</t>
  </si>
  <si>
    <t>4.15D4M-17</t>
  </si>
  <si>
    <t>4.15D4M-11</t>
  </si>
  <si>
    <t>4.15D4M-12</t>
  </si>
  <si>
    <t>4.15D4M-13</t>
  </si>
  <si>
    <t>4.15D4M-14</t>
  </si>
  <si>
    <t>4.15D4M-15</t>
  </si>
  <si>
    <t>4.15D4M-16</t>
  </si>
  <si>
    <t>4.10D4Z-13</t>
  </si>
  <si>
    <t>4.10D4D-9</t>
  </si>
  <si>
    <t>4.10D4Z-10</t>
  </si>
  <si>
    <t>4.10D4Z-11</t>
  </si>
  <si>
    <t>4.15D4M-5</t>
  </si>
  <si>
    <t>4.15D4M-6</t>
  </si>
  <si>
    <t>4.15D4M-7</t>
  </si>
  <si>
    <t>4.15D4M-8</t>
  </si>
  <si>
    <t>4.15D4M-9</t>
  </si>
  <si>
    <t>4.15D4M-10</t>
  </si>
  <si>
    <t>4.10D4Z-8</t>
  </si>
  <si>
    <t>4.10D4Z-9</t>
  </si>
  <si>
    <t>4.10D4Z-6</t>
  </si>
  <si>
    <t>4.10D4Z-7</t>
  </si>
  <si>
    <t>4.10D4D-6</t>
  </si>
  <si>
    <t>4.10D4D-7</t>
  </si>
  <si>
    <t>4.10D4D-8</t>
  </si>
  <si>
    <t>4.10D4D-3</t>
  </si>
  <si>
    <t>4.10D4D-4</t>
  </si>
  <si>
    <t>4.10D4D-5</t>
  </si>
  <si>
    <t>4.10D4D-14</t>
  </si>
  <si>
    <t>4.10D4D-15</t>
  </si>
  <si>
    <t>4.10D4D-16</t>
  </si>
  <si>
    <t>4.10D4Z-4</t>
  </si>
  <si>
    <t>4.10D4Z-5</t>
  </si>
  <si>
    <t>4.15D4M-4</t>
  </si>
  <si>
    <t>4.15D4M-3</t>
  </si>
  <si>
    <t>4.10D4Z-3</t>
  </si>
  <si>
    <t>4.10D4D-2</t>
  </si>
  <si>
    <t>4.15D4M-2</t>
  </si>
  <si>
    <t>4.10D4Z-2</t>
  </si>
  <si>
    <t>4.15D4M-1</t>
  </si>
  <si>
    <t>4.10D4D-1</t>
  </si>
  <si>
    <t>4.10D4Z-1</t>
  </si>
  <si>
    <t>4.15D4M-19</t>
  </si>
  <si>
    <t>4.15D4M-21</t>
  </si>
  <si>
    <t>4.10D4Z-14</t>
  </si>
  <si>
    <t>4.15D4M-24</t>
  </si>
  <si>
    <t>4.15D4M-25</t>
  </si>
  <si>
    <t>4.15D4M-26</t>
  </si>
  <si>
    <t>工程项目：莆田市凤凰福道主线D第7联</t>
  </si>
  <si>
    <t>D7G-1</t>
  </si>
  <si>
    <t>D7G-2</t>
  </si>
  <si>
    <t>D7G-3</t>
  </si>
  <si>
    <t>D7G-4</t>
  </si>
  <si>
    <t>4.15D7M-9</t>
  </si>
  <si>
    <t>4.15D7M-7</t>
  </si>
  <si>
    <t>4.15D7M-8</t>
  </si>
  <si>
    <t>4.15D7D-4</t>
  </si>
  <si>
    <t>4.15D7M-1</t>
  </si>
  <si>
    <t>4.15D7M-2</t>
  </si>
  <si>
    <t>4.15D7M-3</t>
  </si>
  <si>
    <t>4.15D7M-4</t>
  </si>
  <si>
    <t>4.15D7M-5</t>
  </si>
  <si>
    <t>4.15D7M-6</t>
  </si>
  <si>
    <t>4.15D7D-2</t>
  </si>
  <si>
    <t>4.15D7D-3</t>
  </si>
  <si>
    <t>4.15D7D-1</t>
  </si>
  <si>
    <t>4.15D7Z-4</t>
  </si>
  <si>
    <t>4.15D7D-9</t>
  </si>
  <si>
    <t>4.15D7Z-3</t>
  </si>
  <si>
    <t>4.15D7D-13</t>
  </si>
  <si>
    <t>4.15D7Z-2</t>
  </si>
  <si>
    <t>4.15D7M-12</t>
  </si>
  <si>
    <t>4.15D7M-10</t>
  </si>
  <si>
    <t>4.15D7Z-5</t>
  </si>
  <si>
    <t>4.15D7M-14</t>
  </si>
  <si>
    <t>4.15D7M-15</t>
  </si>
  <si>
    <t>4.15D7Z-8</t>
  </si>
  <si>
    <t>4.15D7M-13</t>
  </si>
  <si>
    <t>4.15D7Z-1</t>
  </si>
  <si>
    <t>4.15D7Z-10</t>
  </si>
  <si>
    <t>4.15D7M-20</t>
  </si>
  <si>
    <t>4.15D7M-24</t>
  </si>
  <si>
    <t>4.15D7M-11</t>
  </si>
  <si>
    <t>4.15D7Z-9</t>
  </si>
  <si>
    <t>4.15D7M-23</t>
  </si>
  <si>
    <t>4.15D7D-5</t>
  </si>
  <si>
    <t>4.15D7D-8</t>
  </si>
  <si>
    <t>4.15D7Z-7</t>
  </si>
  <si>
    <t>4.15D7D-7</t>
  </si>
  <si>
    <t>4.15D7Z-6</t>
  </si>
  <si>
    <t>4.15D7D-12</t>
  </si>
  <si>
    <t>4.15D7D-6</t>
  </si>
  <si>
    <t>4.15D7M-22</t>
  </si>
  <si>
    <t>4.15D7D-10</t>
  </si>
  <si>
    <t>4.15D7D-14</t>
  </si>
  <si>
    <t>4.15D7M-19</t>
  </si>
  <si>
    <t>4.15D7M-18</t>
  </si>
  <si>
    <t>4.15D7Z-11</t>
  </si>
  <si>
    <t>4.15D7M-16</t>
  </si>
  <si>
    <t>4.15D7M-17</t>
  </si>
  <si>
    <t>工程项目：莆田市凤凰福道主线D第8联</t>
  </si>
  <si>
    <t>4.15D8M-7</t>
  </si>
  <si>
    <t>4.15D8M-8</t>
  </si>
  <si>
    <t>4.15D8M-9</t>
  </si>
  <si>
    <t>4.15D8M-10</t>
  </si>
  <si>
    <t>4.15D8M-11</t>
  </si>
  <si>
    <t>4.15D8M-12</t>
  </si>
  <si>
    <t>4.15D8M-13</t>
  </si>
  <si>
    <t>4.15D8M-14</t>
  </si>
  <si>
    <t>4.15D8M-15</t>
  </si>
  <si>
    <t>4.15D8M-16</t>
  </si>
  <si>
    <t>4.15D8M-17</t>
  </si>
  <si>
    <t>4.15D8M-18</t>
  </si>
  <si>
    <t>4.15D8M-19</t>
  </si>
  <si>
    <t>4.15D8M-20</t>
  </si>
  <si>
    <t>4.15D8M-21</t>
  </si>
  <si>
    <t>4.15D8M-22</t>
  </si>
  <si>
    <t>4.15D8M-23</t>
  </si>
  <si>
    <t>4.15D8M-24</t>
  </si>
  <si>
    <t>4.15D8M-4</t>
  </si>
  <si>
    <t>4.15D8M-5</t>
  </si>
  <si>
    <t>4.15D8M-6</t>
  </si>
  <si>
    <t>4.10D8D-3</t>
  </si>
  <si>
    <t>4.10D8D-4</t>
  </si>
  <si>
    <t>4.10D8D-5</t>
  </si>
  <si>
    <t>4.10D8D-6</t>
  </si>
  <si>
    <t>4.10D8D-7</t>
  </si>
  <si>
    <t>4.10D8D-8</t>
  </si>
  <si>
    <t>4.10D8D-2</t>
  </si>
  <si>
    <t>4.15D8M-3</t>
  </si>
  <si>
    <t>4.15D8M-2</t>
  </si>
  <si>
    <t>4.15D8M-1</t>
  </si>
  <si>
    <t>4.10D8D-1</t>
  </si>
  <si>
    <t>4.15D8M-28</t>
  </si>
  <si>
    <t>4.15D8M-27</t>
  </si>
  <si>
    <t>4.15D8M-29</t>
  </si>
  <si>
    <t>4.10D8Z-1</t>
  </si>
  <si>
    <t>4.10D8Z-2</t>
  </si>
  <si>
    <t>4.10D8Z-3</t>
  </si>
  <si>
    <t>4.10D8Z-14</t>
  </si>
  <si>
    <t>4.15D8M-26</t>
  </si>
  <si>
    <t>4.10D8Z-9</t>
  </si>
  <si>
    <t>4.10D8Z-11</t>
  </si>
  <si>
    <t>4.15D8M-25</t>
  </si>
  <si>
    <t>4.10D8Z-5</t>
  </si>
  <si>
    <t>4.10D8Z-6</t>
  </si>
  <si>
    <t>4.10D8Z-7</t>
  </si>
  <si>
    <t>4.10D8Z-8</t>
  </si>
  <si>
    <t>4.10D8Z-4</t>
  </si>
  <si>
    <t>4.10D8D-11</t>
  </si>
  <si>
    <t>4.10D8D-12</t>
  </si>
  <si>
    <t>4.10D8D-10</t>
  </si>
  <si>
    <t>4.10D8D-17</t>
  </si>
  <si>
    <t>4.10D8D-9</t>
  </si>
  <si>
    <t>4.10D8D-14</t>
  </si>
  <si>
    <t>4.10D8Z-15</t>
  </si>
  <si>
    <t>4.10D8Z-10</t>
  </si>
  <si>
    <t>4.10D8Z-13</t>
  </si>
  <si>
    <t>4.10D8Z-12</t>
  </si>
  <si>
    <t>4.15D8M-31</t>
  </si>
  <si>
    <t>4.10D8D-15</t>
  </si>
  <si>
    <t>4.10D8D-18</t>
  </si>
  <si>
    <t>4.10D8D-16</t>
  </si>
  <si>
    <t>4.10D8D-13</t>
  </si>
  <si>
    <t>工程项目：莆田市凤凰福道主线D第9联</t>
  </si>
  <si>
    <t>D9G-1</t>
  </si>
  <si>
    <t>D9G-2</t>
  </si>
  <si>
    <t>D9G-3</t>
  </si>
  <si>
    <t>D9G-4</t>
  </si>
  <si>
    <t>4.15D9M-7</t>
  </si>
  <si>
    <t>4.15D9M-8</t>
  </si>
  <si>
    <t>4.15D9M-9</t>
  </si>
  <si>
    <t>4.15D9M-4</t>
  </si>
  <si>
    <t>4.15D9M-5</t>
  </si>
  <si>
    <t>4.15D9M-6</t>
  </si>
  <si>
    <t>4.15D9M-3</t>
  </si>
  <si>
    <t>4.15D9M-2</t>
  </si>
  <si>
    <t>4.15D9M-1</t>
  </si>
  <si>
    <t>4.15D9D-15</t>
  </si>
  <si>
    <t>4.15D9D-4</t>
  </si>
  <si>
    <t>4.15D9D-3</t>
  </si>
  <si>
    <t>4.15D9D-2</t>
  </si>
  <si>
    <t>4.15D9D-1</t>
  </si>
  <si>
    <t>4.15D9M-18</t>
  </si>
  <si>
    <t>4.15D9M-19</t>
  </si>
  <si>
    <t>4.15D9M-17</t>
  </si>
  <si>
    <t>4.15D9M-16</t>
  </si>
  <si>
    <t>4.15D9M-20</t>
  </si>
  <si>
    <t>4.15D9M-21</t>
  </si>
  <si>
    <t>4.15D9M-22</t>
  </si>
  <si>
    <t>4.15D9M-15</t>
  </si>
  <si>
    <t>4.10D9Z-6</t>
  </si>
  <si>
    <t>4.15D9M-14</t>
  </si>
  <si>
    <t>面板/纵梁</t>
  </si>
  <si>
    <t>4.15D9M-13</t>
  </si>
  <si>
    <t>4.10D9Z-4</t>
  </si>
  <si>
    <t>4.15D9M-12</t>
  </si>
  <si>
    <t>4.10D9Z-5</t>
  </si>
  <si>
    <t>4.10D9Z-3</t>
  </si>
  <si>
    <t>4.15D9D-11</t>
  </si>
  <si>
    <t>底板/纵梁</t>
  </si>
  <si>
    <t>4.15D9D-10</t>
  </si>
  <si>
    <t>4.10D9Z-2</t>
  </si>
  <si>
    <t>4.15D9D-9</t>
  </si>
  <si>
    <t>4.15D9D-8</t>
  </si>
  <si>
    <t>4.15D9D-7</t>
  </si>
  <si>
    <t>4.15D9D-14</t>
  </si>
  <si>
    <t>4.15D9D-17</t>
  </si>
  <si>
    <t>4.15D9D-6</t>
  </si>
  <si>
    <t>4.15D9D-16</t>
  </si>
  <si>
    <t>4.15D9M-11</t>
  </si>
  <si>
    <t>4.15D9M-10</t>
  </si>
  <si>
    <t>4.10D9Z-1</t>
  </si>
  <si>
    <t>4.15D9D-5</t>
  </si>
  <si>
    <t>4.10D9Z-8</t>
  </si>
  <si>
    <t>4.10D9Z-11</t>
  </si>
  <si>
    <t>4.10D9Z-12</t>
  </si>
  <si>
    <t>4.10D9Z-10</t>
  </si>
  <si>
    <t>4.10D9Z-9</t>
  </si>
  <si>
    <t>4.10D9Z-7</t>
  </si>
  <si>
    <t>4.15D9M-26</t>
  </si>
  <si>
    <t>4.15D9M-25</t>
  </si>
  <si>
    <t>4.15D9M-24</t>
  </si>
  <si>
    <t>4.15D9D-13</t>
  </si>
  <si>
    <t>4.15D9M-23</t>
  </si>
  <si>
    <t>工程项目：莆田市凤凰福道主线D第10联</t>
  </si>
  <si>
    <t>D10G-1</t>
  </si>
  <si>
    <t>D10G-2</t>
  </si>
  <si>
    <t>D10G-3</t>
  </si>
  <si>
    <t>D10G-4</t>
  </si>
  <si>
    <t>4.15D10M-9</t>
  </si>
  <si>
    <t>4.15D10M-10</t>
  </si>
  <si>
    <t>4.15D10M-11</t>
  </si>
  <si>
    <t>4.15D10M-12</t>
  </si>
  <si>
    <t>4.15D10M-6</t>
  </si>
  <si>
    <t>4.15D10M-7</t>
  </si>
  <si>
    <t>4.15D10M-8</t>
  </si>
  <si>
    <t>4.15D10M-5</t>
  </si>
  <si>
    <t>4.15D10M-4</t>
  </si>
  <si>
    <t>4.15D10M-1</t>
  </si>
  <si>
    <t>4.15D10M-2</t>
  </si>
  <si>
    <t>4.15D10M-3</t>
  </si>
  <si>
    <t>4.15D10D-4</t>
  </si>
  <si>
    <t>4.15D10D-3</t>
  </si>
  <si>
    <t>4.15D10D-1</t>
  </si>
  <si>
    <t>4.15D10D-2</t>
  </si>
  <si>
    <t>4.15D10Z-7</t>
  </si>
  <si>
    <t>4.15D10Z-14</t>
  </si>
  <si>
    <t>4.15D10M-17</t>
  </si>
  <si>
    <t>4.15D10M-16</t>
  </si>
  <si>
    <t>4.15D10M-15</t>
  </si>
  <si>
    <t>4.15D10M-29</t>
  </si>
  <si>
    <t>4.15D10M-30</t>
  </si>
  <si>
    <t>4.15D10Z-2</t>
  </si>
  <si>
    <t>4.15D10Z-13</t>
  </si>
  <si>
    <t>4.15D10Z-1</t>
  </si>
  <si>
    <t>4.15D10Z-9</t>
  </si>
  <si>
    <t>4.15D10M-14</t>
  </si>
  <si>
    <t>4.15D10Z-3</t>
  </si>
  <si>
    <t>4.15D10Z-4</t>
  </si>
  <si>
    <t>4.15D10Z-5</t>
  </si>
  <si>
    <t>4.15D10D-6</t>
  </si>
  <si>
    <t>4.15D10Z-6</t>
  </si>
  <si>
    <t>4.15D10M-27</t>
  </si>
  <si>
    <t>4.15D10M-13</t>
  </si>
  <si>
    <t>4.15D10D-5</t>
  </si>
  <si>
    <t>4.15D10D-14</t>
  </si>
  <si>
    <t>4.15D10M-26</t>
  </si>
  <si>
    <t>4.15D10Z-8</t>
  </si>
  <si>
    <t>4.15D10D-10</t>
  </si>
  <si>
    <t>4.15D10D-8</t>
  </si>
  <si>
    <t>4.15D10D-13</t>
  </si>
  <si>
    <t>4.15D10D-7</t>
  </si>
  <si>
    <t>4.15D10D-15</t>
  </si>
  <si>
    <t>4.15D10M-25</t>
  </si>
  <si>
    <t>4.15D10D-9</t>
  </si>
  <si>
    <t>4.15D10Z-11</t>
  </si>
  <si>
    <t>4.15D10M-23</t>
  </si>
  <si>
    <t>4.15D10Z-15</t>
  </si>
  <si>
    <t>4.15D10M-22</t>
  </si>
  <si>
    <t>工程项目：莆田市凤凰福道主线D第11联</t>
  </si>
  <si>
    <t>D11G-1</t>
  </si>
  <si>
    <t>D11G-2</t>
  </si>
  <si>
    <t>D11G-3</t>
  </si>
  <si>
    <t>D11G-4</t>
  </si>
  <si>
    <t>4.15D11M-6</t>
  </si>
  <si>
    <t>4.15D11M-7</t>
  </si>
  <si>
    <t>4.15D11M-8</t>
  </si>
  <si>
    <t>4.15D11M-9</t>
  </si>
  <si>
    <t>4.15D11M-10</t>
  </si>
  <si>
    <t>4.15D11M-11</t>
  </si>
  <si>
    <t>4.15D11M-12</t>
  </si>
  <si>
    <t>4.15D11M-13</t>
  </si>
  <si>
    <t>4.15D11M-14</t>
  </si>
  <si>
    <t>4.15D11M-15</t>
  </si>
  <si>
    <t>4.15D11M-16</t>
  </si>
  <si>
    <t>4.15D11M-17</t>
  </si>
  <si>
    <t>4.15D11M-18</t>
  </si>
  <si>
    <t>4.15D11M-5</t>
  </si>
  <si>
    <t>4.15D11M-4</t>
  </si>
  <si>
    <t>4.15D11M-21</t>
  </si>
  <si>
    <t>4.15D11M-1</t>
  </si>
  <si>
    <t>4.15D11M-2</t>
  </si>
  <si>
    <t>4.15D11M-3</t>
  </si>
  <si>
    <t>4.15D11D-4</t>
  </si>
  <si>
    <t>4.15D11D-5</t>
  </si>
  <si>
    <t>4.15D11D-6</t>
  </si>
  <si>
    <t>4.15D11D-7</t>
  </si>
  <si>
    <t>4.15D11D-8</t>
  </si>
  <si>
    <t>4.15D11D-3</t>
  </si>
  <si>
    <t>4.15D11D-2</t>
  </si>
  <si>
    <t>4.15D11D-1</t>
  </si>
  <si>
    <t>4.15D11D-12</t>
  </si>
  <si>
    <t>4.15D11M-31</t>
  </si>
  <si>
    <t>4.15D11M-30</t>
  </si>
  <si>
    <t>4.15D11M-29</t>
  </si>
  <si>
    <t>4.15D11M-20</t>
  </si>
  <si>
    <t>4.15D11M-28</t>
  </si>
  <si>
    <t>4.11D11Z-4</t>
  </si>
  <si>
    <t>4.11D11Z-5</t>
  </si>
  <si>
    <t>4.11D11Z-8</t>
  </si>
  <si>
    <t>4.11D11Z-14</t>
  </si>
  <si>
    <t>4.11D11Z-9</t>
  </si>
  <si>
    <t>4.15D11M-27</t>
  </si>
  <si>
    <t>4.11D11Z-11</t>
  </si>
  <si>
    <t>4.11D11Z-10</t>
  </si>
  <si>
    <t>4.11D11Z-2</t>
  </si>
  <si>
    <t>4.11D11Z-3</t>
  </si>
  <si>
    <t>4.11D11Z-1</t>
  </si>
  <si>
    <t>4.15D11D-11</t>
  </si>
  <si>
    <t>4.15D11D-10</t>
  </si>
  <si>
    <t>4.11D11Z-6</t>
  </si>
  <si>
    <t>4.15D11D-9</t>
  </si>
  <si>
    <t>4.15D11M-23</t>
  </si>
  <si>
    <t>4.15D11M-19</t>
  </si>
  <si>
    <t>4.15D11M-22</t>
  </si>
  <si>
    <t>4.11D11Z-7</t>
  </si>
  <si>
    <t>4.11D11Z-12</t>
  </si>
  <si>
    <t>4.11D11Z-13</t>
  </si>
  <si>
    <t>4.15D11M-26</t>
  </si>
  <si>
    <t>4.15D11M-25</t>
  </si>
  <si>
    <t>4.15D11M-24</t>
  </si>
  <si>
    <t>4.15D11D-16</t>
  </si>
  <si>
    <t>4.15D11D-14</t>
  </si>
  <si>
    <t>4.15D11D-15</t>
  </si>
  <si>
    <t>4.15D11D-17</t>
  </si>
  <si>
    <t>4.15D11D-13</t>
  </si>
  <si>
    <t>工程项目：莆田市凤凰福道主线D第12联</t>
  </si>
  <si>
    <t>D12G-1</t>
  </si>
  <si>
    <t>D12G-2</t>
  </si>
  <si>
    <t>D12G-3</t>
  </si>
  <si>
    <t>D12G-4</t>
  </si>
  <si>
    <t>4.11D12M-9</t>
  </si>
  <si>
    <t>4.11D12M-10</t>
  </si>
  <si>
    <t>4.11D12M-11</t>
  </si>
  <si>
    <t>4.11D12M-12</t>
  </si>
  <si>
    <t>4.11D12M-7</t>
  </si>
  <si>
    <t>4.11D12M-8</t>
  </si>
  <si>
    <t>4.11D12M-4</t>
  </si>
  <si>
    <t>4.11D12M-5</t>
  </si>
  <si>
    <t>4.11D12M-6</t>
  </si>
  <si>
    <t>4.11D12D-5</t>
  </si>
  <si>
    <t>4.11D12D-3</t>
  </si>
  <si>
    <t>4.11D12D-4</t>
  </si>
  <si>
    <t>4.11D12D-2</t>
  </si>
  <si>
    <t>4.11D12M-1</t>
  </si>
  <si>
    <t>4.11D12M-2</t>
  </si>
  <si>
    <t>4.11D12M-3</t>
  </si>
  <si>
    <t>4.11D12D-1</t>
  </si>
  <si>
    <t>4.11D12M-22</t>
  </si>
  <si>
    <t>4.11D12M-21</t>
  </si>
  <si>
    <t>4.11D12M-18</t>
  </si>
  <si>
    <t>4.11D12M-19</t>
  </si>
  <si>
    <t>4.11D12M-20</t>
  </si>
  <si>
    <t>4.11D12M-17</t>
  </si>
  <si>
    <t>4.11D12M-16</t>
  </si>
  <si>
    <t>4.11D12Z-8</t>
  </si>
  <si>
    <t>4.11D12M-15</t>
  </si>
  <si>
    <t>4.11D12Z-9</t>
  </si>
  <si>
    <t>4.11D12M-14</t>
  </si>
  <si>
    <t>4.11D12Z-4</t>
  </si>
  <si>
    <t>4.11D12Z-2</t>
  </si>
  <si>
    <t>4.11D12M-13</t>
  </si>
  <si>
    <t>4.11D12Z-10</t>
  </si>
  <si>
    <t>4.11D12D-10</t>
  </si>
  <si>
    <t>4.11D12Z-1</t>
  </si>
  <si>
    <t>4.11D12D-9</t>
  </si>
  <si>
    <t>4.11D12D-13</t>
  </si>
  <si>
    <t>4.11D12D-8</t>
  </si>
  <si>
    <t>4.11D12Z-6</t>
  </si>
  <si>
    <t>4.11D12D-15</t>
  </si>
  <si>
    <t>4.11D12D-7</t>
  </si>
  <si>
    <t>4.11D12Z-5</t>
  </si>
  <si>
    <t>4.11D12D-6</t>
  </si>
  <si>
    <t>4.11D12Z-3</t>
  </si>
  <si>
    <t>4.11D12Z-11</t>
  </si>
  <si>
    <t>4.11D12Z-7</t>
  </si>
  <si>
    <t>4.11D12Z-12</t>
  </si>
  <si>
    <t>4.11D12M-24</t>
  </si>
  <si>
    <t>4.11D12M-26</t>
  </si>
  <si>
    <t>4.11D12M-25</t>
  </si>
  <si>
    <t>4.11D12M-27</t>
  </si>
  <si>
    <t>4.11D12M-23</t>
  </si>
  <si>
    <t>4.11D12D-14</t>
  </si>
  <si>
    <t>4.11D12D-12</t>
  </si>
  <si>
    <t>4.11D12D-11</t>
  </si>
  <si>
    <t>工程项目：莆田市凤凰福道主线D第13联</t>
  </si>
  <si>
    <t>D13G-1</t>
  </si>
  <si>
    <t>D13G-2</t>
  </si>
  <si>
    <t>D13G-3</t>
  </si>
  <si>
    <t>D13G-4</t>
  </si>
  <si>
    <t>4.12D13D-6</t>
  </si>
  <si>
    <t>4.15D13M-8</t>
  </si>
  <si>
    <t>4.15D13M-5</t>
  </si>
  <si>
    <t>4.15D13M-6</t>
  </si>
  <si>
    <t>4.15D13M-7</t>
  </si>
  <si>
    <t>4.15D13M-9</t>
  </si>
  <si>
    <t>4.15D13M-10</t>
  </si>
  <si>
    <t>4.15D13M-11</t>
  </si>
  <si>
    <t>4.15D13M-4</t>
  </si>
  <si>
    <t>4.15D13M-15</t>
  </si>
  <si>
    <t>4.12D13D-4</t>
  </si>
  <si>
    <t>4.12D13D-5</t>
  </si>
  <si>
    <t>4.12D13D-3</t>
  </si>
  <si>
    <t>4.12D13D-2</t>
  </si>
  <si>
    <t>4.15D13M-13</t>
  </si>
  <si>
    <t>4.15D13M-1</t>
  </si>
  <si>
    <t>4.15D13M-2</t>
  </si>
  <si>
    <t>4.15D13M-3</t>
  </si>
  <si>
    <t>4.12D13D-1</t>
  </si>
  <si>
    <t>4.15D13M-12</t>
  </si>
  <si>
    <t>4.15D13M-20</t>
  </si>
  <si>
    <t>4.15D13M-21</t>
  </si>
  <si>
    <t>4.15D13M-14</t>
  </si>
  <si>
    <t>4.12D13Z-3</t>
  </si>
  <si>
    <t>4.12D13Z-2</t>
  </si>
  <si>
    <t>4.15D13M-19</t>
  </si>
  <si>
    <t>4.12D13Z-1</t>
  </si>
  <si>
    <t>4.12D13Z-5</t>
  </si>
  <si>
    <t>4.12D13D-8</t>
  </si>
  <si>
    <t>4.12D13D-7</t>
  </si>
  <si>
    <t>4.12D13Z-7</t>
  </si>
  <si>
    <t>4.12D13Z-4</t>
  </si>
  <si>
    <t>4.12D13Z-6</t>
  </si>
  <si>
    <t>4.12D13Z-9</t>
  </si>
  <si>
    <t>4.12D13Z-8</t>
  </si>
  <si>
    <t>4.15D13M-18</t>
  </si>
  <si>
    <t>4.15D13M-17</t>
  </si>
  <si>
    <t>4.15D13M-16</t>
  </si>
  <si>
    <t>4.12D13D-12</t>
  </si>
  <si>
    <t>4.12D13D-10</t>
  </si>
  <si>
    <t>4.12D13D-11</t>
  </si>
  <si>
    <t>4.12D13D-9</t>
  </si>
  <si>
    <t>工程项目：莆田市凤凰福道主线D第14联</t>
  </si>
  <si>
    <t>D14G-1</t>
  </si>
  <si>
    <t>D14G-2</t>
  </si>
  <si>
    <t>D14G-3</t>
  </si>
  <si>
    <t>D14G-4</t>
  </si>
  <si>
    <t>4.12D14M-6</t>
  </si>
  <si>
    <t>4.12D14M-4</t>
  </si>
  <si>
    <t>4.12D14M-5</t>
  </si>
  <si>
    <t>4.12D14M-1</t>
  </si>
  <si>
    <t>4.12D14M-2</t>
  </si>
  <si>
    <t>4.12D14M-3</t>
  </si>
  <si>
    <t>4.12D14D-2</t>
  </si>
  <si>
    <t>4.12D14D-1</t>
  </si>
  <si>
    <t>4.12D14M-15</t>
  </si>
  <si>
    <t>4.12D14M-16</t>
  </si>
  <si>
    <t>4.12D14M-13</t>
  </si>
  <si>
    <t>4.12D14M-14</t>
  </si>
  <si>
    <t>4.12D14M-12</t>
  </si>
  <si>
    <t>4.12D14M-11</t>
  </si>
  <si>
    <t>4.12D14M-10</t>
  </si>
  <si>
    <t>4.12D14Z-3</t>
  </si>
  <si>
    <t>4.12D14M-9</t>
  </si>
  <si>
    <t>4.12D14Z-2</t>
  </si>
  <si>
    <t>4.12D14D-8</t>
  </si>
  <si>
    <t>4.12D14D-6</t>
  </si>
  <si>
    <t>4.12D14D-7</t>
  </si>
  <si>
    <t>4.12D14D-12</t>
  </si>
  <si>
    <t>4.12D14D-5</t>
  </si>
  <si>
    <t>4.12D14D-4</t>
  </si>
  <si>
    <t>4.12D14D-10</t>
  </si>
  <si>
    <t>4.12D14Z-6</t>
  </si>
  <si>
    <t>4.12D14Z-5</t>
  </si>
  <si>
    <t>4.12D14M-8</t>
  </si>
  <si>
    <t>4.12D14M-7</t>
  </si>
  <si>
    <t>4.12D14Z-1</t>
  </si>
  <si>
    <t>4.12D14D-3</t>
  </si>
  <si>
    <t>4.12D14D-11</t>
  </si>
  <si>
    <t>4.12D14Z-9</t>
  </si>
  <si>
    <t>4.12D14Z-8</t>
  </si>
  <si>
    <t>4.12D14Z-4</t>
  </si>
  <si>
    <t>4.12D14Z-7</t>
  </si>
  <si>
    <t>4.12D14M-18</t>
  </si>
  <si>
    <t>4.12D14M-21</t>
  </si>
  <si>
    <t>4.12D14M-20</t>
  </si>
  <si>
    <t>4.12D14M-17</t>
  </si>
  <si>
    <t>4.12D14D-9</t>
  </si>
  <si>
    <t>4.12D14M-19</t>
  </si>
  <si>
    <t>工程项目：莆田市凤凰福道主线D第15联</t>
  </si>
  <si>
    <t>D15G-1</t>
  </si>
  <si>
    <t>D15G-2</t>
  </si>
  <si>
    <t>D15G-3</t>
  </si>
  <si>
    <t>4.12D15M-7</t>
  </si>
  <si>
    <t>4.12D15M-8</t>
  </si>
  <si>
    <t>4.12D15M-9</t>
  </si>
  <si>
    <t>4.12D15M-10</t>
  </si>
  <si>
    <t>4.12D15M-11</t>
  </si>
  <si>
    <t>4.12D15M-12</t>
  </si>
  <si>
    <t>4.12D15M-13</t>
  </si>
  <si>
    <t>4.12D15M-14</t>
  </si>
  <si>
    <t>4.12D15M-15</t>
  </si>
  <si>
    <t>4.12D15M-4</t>
  </si>
  <si>
    <t>4.12D15M-5</t>
  </si>
  <si>
    <t>4.12D15M-6</t>
  </si>
  <si>
    <t>4.15D15D-12</t>
  </si>
  <si>
    <t>4.15D15D-5</t>
  </si>
  <si>
    <t>4.15D15D-6</t>
  </si>
  <si>
    <t>4.15D15D-7</t>
  </si>
  <si>
    <t>4.15D15D-4</t>
  </si>
  <si>
    <t>4.15D15D-3</t>
  </si>
  <si>
    <t>4.15D15D-2</t>
  </si>
  <si>
    <t>4.15D15D-11</t>
  </si>
  <si>
    <t>4.12D15M-1</t>
  </si>
  <si>
    <t>4.12D15M-2</t>
  </si>
  <si>
    <t>4.12D15M-3</t>
  </si>
  <si>
    <t>4.15D15Z-10</t>
  </si>
  <si>
    <t>4.15D15D-8</t>
  </si>
  <si>
    <t>4.15D15D-1</t>
  </si>
  <si>
    <t>4.12D15M-19</t>
  </si>
  <si>
    <t>4.12D15M-18</t>
  </si>
  <si>
    <t>4.12D15M-17</t>
  </si>
  <si>
    <t>4.12D15M-16</t>
  </si>
  <si>
    <t>4.15D15Z-3</t>
  </si>
  <si>
    <t>4.15D15Z-4</t>
  </si>
  <si>
    <t>4.15D15Z-9</t>
  </si>
  <si>
    <t>4.15D15Z-8</t>
  </si>
  <si>
    <t>4.15D15Z-1</t>
  </si>
  <si>
    <t>4.15D15Z-7</t>
  </si>
  <si>
    <t>4.15D15Z-2</t>
  </si>
  <si>
    <t>4.15D15Z-6</t>
  </si>
  <si>
    <t>4.15D15Z-5</t>
  </si>
  <si>
    <t>4.12D15M-20</t>
  </si>
  <si>
    <t>4.15D15D-10</t>
  </si>
  <si>
    <t>4.15D15D-9</t>
  </si>
  <si>
    <t>申请：                                    审核：                                         批准：                                      日期：</t>
  </si>
  <si>
    <t>工程项目：莆田市凤凰福道主线D第16联</t>
  </si>
  <si>
    <t>4.12D16M-5</t>
  </si>
  <si>
    <t>4.12D16M-4</t>
  </si>
  <si>
    <t>4.12D16M-3</t>
  </si>
  <si>
    <t>4.12D16M-2</t>
  </si>
  <si>
    <t>4.12D16D-2</t>
  </si>
  <si>
    <t>4.12D16D-1</t>
  </si>
  <si>
    <t>4.12D16M-17</t>
  </si>
  <si>
    <t>4.12D16M-18</t>
  </si>
  <si>
    <t>4.12D16M-16</t>
  </si>
  <si>
    <t>4.12D16M-15</t>
  </si>
  <si>
    <t>4.12D16M-14</t>
  </si>
  <si>
    <t>4.12D16M-24</t>
  </si>
  <si>
    <t>4.12D16Z-4</t>
  </si>
  <si>
    <t>4.12D16M-13</t>
  </si>
  <si>
    <t>4.12D16M-19</t>
  </si>
  <si>
    <t>4.12D16M-12</t>
  </si>
  <si>
    <t>4.12D16M-11</t>
  </si>
  <si>
    <t>4.12D16M-10</t>
  </si>
  <si>
    <t>4.12D16Z-2</t>
  </si>
  <si>
    <t>4.12D16D-12</t>
  </si>
  <si>
    <t>4.12D16Z-1</t>
  </si>
  <si>
    <t>4.12D16D-11</t>
  </si>
  <si>
    <t>4.12D16D-10</t>
  </si>
  <si>
    <t>4.12D16D-13</t>
  </si>
  <si>
    <t>4.12D16M-8</t>
  </si>
  <si>
    <t>4.12D16M-9</t>
  </si>
  <si>
    <t>4.12D16D-8</t>
  </si>
  <si>
    <t>4.12D16D-9</t>
  </si>
  <si>
    <t>4.12D16D-17</t>
  </si>
  <si>
    <t>4.12D16D-7</t>
  </si>
  <si>
    <t>4.12D16D-15</t>
  </si>
  <si>
    <t>4.12D16D-6</t>
  </si>
  <si>
    <t>4.12D16D-4</t>
  </si>
  <si>
    <t>4.12D16D-5</t>
  </si>
  <si>
    <t>4.12D16D-16</t>
  </si>
  <si>
    <t>4.12D16D-14</t>
  </si>
  <si>
    <t>4.12D16Z-8</t>
  </si>
  <si>
    <t>4.12D16Z-7</t>
  </si>
  <si>
    <t>4.12D16M-7</t>
  </si>
  <si>
    <t>4.12D16M-6</t>
  </si>
  <si>
    <t>4.12D16Z-3</t>
  </si>
  <si>
    <t>4.12D16D-18</t>
  </si>
  <si>
    <t>4.12D16D-3</t>
  </si>
  <si>
    <t>4.12D16Z-6</t>
  </si>
  <si>
    <t>4.12D16Z-13</t>
  </si>
  <si>
    <t>4.12D16Z-12</t>
  </si>
  <si>
    <t>4.12D16Z-11</t>
  </si>
  <si>
    <t>4.12D16Z-10</t>
  </si>
  <si>
    <t>4.12D16Z-9</t>
  </si>
  <si>
    <t>4.12D16Z-5</t>
  </si>
  <si>
    <t>4.12D16M-30</t>
  </si>
  <si>
    <t>4.12D16M-31</t>
  </si>
  <si>
    <t>4.12D16M-29</t>
  </si>
  <si>
    <t>4.12D16M-23</t>
  </si>
  <si>
    <t>4.12D16M-22</t>
  </si>
  <si>
    <t>4.12D16M-21</t>
  </si>
  <si>
    <t>4.12D16M-28</t>
  </si>
  <si>
    <t>4.12D16M-27</t>
  </si>
  <si>
    <t>4.12D16M-25</t>
  </si>
  <si>
    <t>4.12D16M-26</t>
  </si>
  <si>
    <t>4.12D16M-20</t>
  </si>
  <si>
    <t>工程项目：莆田市凤凰福道主线D第17联</t>
  </si>
  <si>
    <t>D17G-1</t>
  </si>
  <si>
    <t>D17G-2</t>
  </si>
  <si>
    <t>D17G-3</t>
  </si>
  <si>
    <t>D17G-4</t>
  </si>
  <si>
    <t>4.13D17M-4</t>
  </si>
  <si>
    <t>4.13D17M-5</t>
  </si>
  <si>
    <t>4.13D17M-6</t>
  </si>
  <si>
    <t>4.13D17D-2</t>
  </si>
  <si>
    <t>4.13D17M-1</t>
  </si>
  <si>
    <t>4.13D17M-2</t>
  </si>
  <si>
    <t>4.13D17M-3</t>
  </si>
  <si>
    <t>4.13D17D-1</t>
  </si>
  <si>
    <t>4.13D17D-6</t>
  </si>
  <si>
    <t>4.13D17D-7</t>
  </si>
  <si>
    <t>4.13D17M-17</t>
  </si>
  <si>
    <t>4.13D17M-18</t>
  </si>
  <si>
    <t>4.13D17M-16</t>
  </si>
  <si>
    <t>4.13D17M-15</t>
  </si>
  <si>
    <t>4.13D17Z-2</t>
  </si>
  <si>
    <t>4.13D17M-13</t>
  </si>
  <si>
    <t>4.13D17M-14</t>
  </si>
  <si>
    <t>4.13D17D-5</t>
  </si>
  <si>
    <t>4.13D17D-3</t>
  </si>
  <si>
    <t>4.13D17D-4</t>
  </si>
  <si>
    <t>4.13D17Z-1</t>
  </si>
  <si>
    <t>4.13D17Z-8</t>
  </si>
  <si>
    <t>4.13D17Z-3</t>
  </si>
  <si>
    <t>4.13D17Z-7</t>
  </si>
  <si>
    <t>4.13D17Z-6</t>
  </si>
  <si>
    <t>4.13D17Z-5</t>
  </si>
  <si>
    <t>4.13D17Z-4</t>
  </si>
  <si>
    <t>4.13D17M-11</t>
  </si>
  <si>
    <t>4.13D17M-12</t>
  </si>
  <si>
    <t>4.13D17M-10</t>
  </si>
  <si>
    <t>4.13D17M-21</t>
  </si>
  <si>
    <t>4.13D17M-20</t>
  </si>
  <si>
    <t>4.13D17M-19</t>
  </si>
  <si>
    <t>4.13D17M-8</t>
  </si>
  <si>
    <t>4.13D17M-9</t>
  </si>
  <si>
    <t>4.13D17M-7</t>
  </si>
  <si>
    <t>4.13D17D-8</t>
  </si>
  <si>
    <t>4.13D17D-9</t>
  </si>
  <si>
    <t>4.13D17D-10</t>
  </si>
  <si>
    <t>工程项目：莆田市凤凰福道主线D第18联</t>
  </si>
  <si>
    <t>4.14D18M-16</t>
  </si>
  <si>
    <t>4.14D18M-17</t>
  </si>
  <si>
    <t>4.14D18M-18</t>
  </si>
  <si>
    <t>4.14D18M-19</t>
  </si>
  <si>
    <t>4.14D18M-20</t>
  </si>
  <si>
    <t>4.14D18M-21</t>
  </si>
  <si>
    <t>4.14D18M-22</t>
  </si>
  <si>
    <t>4.14D18M-23</t>
  </si>
  <si>
    <t>4.14D18M-24</t>
  </si>
  <si>
    <t>4.14D18M-25</t>
  </si>
  <si>
    <t>4.14D18M-26</t>
  </si>
  <si>
    <t>4.14D18M-27</t>
  </si>
  <si>
    <t>4.14D18M-28</t>
  </si>
  <si>
    <t>4.14D18M-29</t>
  </si>
  <si>
    <t>4.14D18M-30</t>
  </si>
  <si>
    <t>4.14D18M-4</t>
  </si>
  <si>
    <t>4.14D18M-9</t>
  </si>
  <si>
    <t>4.14D18M-10</t>
  </si>
  <si>
    <t>4.14D18M-11</t>
  </si>
  <si>
    <t>4.14D18M-12</t>
  </si>
  <si>
    <t>4.14D18M-13</t>
  </si>
  <si>
    <t>4.14D18M-14</t>
  </si>
  <si>
    <t>4.14D18M-15</t>
  </si>
  <si>
    <t>4.14D18M-5</t>
  </si>
  <si>
    <t>4.14D18M-6</t>
  </si>
  <si>
    <t>4.14D18M-7</t>
  </si>
  <si>
    <t>4.14D18M-8</t>
  </si>
  <si>
    <t>4.14D18M-1</t>
  </si>
  <si>
    <t>4.14D18M-2</t>
  </si>
  <si>
    <t>4.14D18M-3</t>
  </si>
  <si>
    <t>4.14D18D-6</t>
  </si>
  <si>
    <t>4.14D18D-7</t>
  </si>
  <si>
    <t>4.14D18D-8</t>
  </si>
  <si>
    <t>4.14D18D-9</t>
  </si>
  <si>
    <t>4.14D18D-10</t>
  </si>
  <si>
    <t>4.14D18D-4</t>
  </si>
  <si>
    <t>4.14D18D-5</t>
  </si>
  <si>
    <t>4.14D18D-1</t>
  </si>
  <si>
    <t>4.14D18D-2</t>
  </si>
  <si>
    <t>4.14D18D-3</t>
  </si>
  <si>
    <t>4.14D18M-40</t>
  </si>
  <si>
    <t>4.14D18M-39</t>
  </si>
  <si>
    <t>4.14D18M-32</t>
  </si>
  <si>
    <t>4.14D18Z-11</t>
  </si>
  <si>
    <t>4.14D18Z-12</t>
  </si>
  <si>
    <t>4.14D18Z-13</t>
  </si>
  <si>
    <t>4.14D18Z-10</t>
  </si>
  <si>
    <t>4.14D18Z-8</t>
  </si>
  <si>
    <t>4.14D18Z-9</t>
  </si>
  <si>
    <t>4.14D18M-38</t>
  </si>
  <si>
    <t>4.14D18D-16</t>
  </si>
  <si>
    <t>4.14D18Z-5</t>
  </si>
  <si>
    <t>4.14D18Z-6</t>
  </si>
  <si>
    <t>4.14D18Z-7</t>
  </si>
  <si>
    <t>4.14D18Z-3</t>
  </si>
  <si>
    <t>4.14D18Z-4</t>
  </si>
  <si>
    <t>4.14D18Z-1</t>
  </si>
  <si>
    <t>4.14D18Z-2</t>
  </si>
  <si>
    <t>4.14D18Z-16</t>
  </si>
  <si>
    <t>4.14D18D-14</t>
  </si>
  <si>
    <t>4.14D18D-13</t>
  </si>
  <si>
    <t>4.14D18D-12</t>
  </si>
  <si>
    <t>4.14D18Z-18</t>
  </si>
  <si>
    <t>4.14D18Z-15</t>
  </si>
  <si>
    <t>4.14D18M-31</t>
  </si>
  <si>
    <t>4.14D18D-15</t>
  </si>
  <si>
    <t>4.14D18D-11</t>
  </si>
  <si>
    <t>4.14D18Z-17</t>
  </si>
  <si>
    <t>4.14D18Z-14</t>
  </si>
  <si>
    <t>4.14D18M-37</t>
  </si>
  <si>
    <t>4.14D18M-36</t>
  </si>
  <si>
    <t>4.14D18M-35</t>
  </si>
  <si>
    <t>4.14D18D-20</t>
  </si>
  <si>
    <t>4.14D18D-21</t>
  </si>
  <si>
    <t>4.14D18D-19</t>
  </si>
  <si>
    <t>4.14D18D-17</t>
  </si>
  <si>
    <t>4.14D18D-18</t>
  </si>
  <si>
    <t>4.14D18M-34</t>
  </si>
  <si>
    <t>4.14D18M-33</t>
  </si>
  <si>
    <t>工程项目：莆田市凤凰福道主线A增补</t>
  </si>
  <si>
    <t>隔板</t>
  </si>
  <si>
    <t>4.15A-2</t>
  </si>
  <si>
    <t>4.15A-1</t>
  </si>
  <si>
    <t>4.15A-11</t>
  </si>
  <si>
    <t>4.15A-14</t>
  </si>
  <si>
    <t>4.15A-9</t>
  </si>
  <si>
    <t>4.15A-10</t>
  </si>
  <si>
    <t>4.15A-3</t>
  </si>
  <si>
    <t>4.15A-12</t>
  </si>
  <si>
    <t>4.15A-15</t>
  </si>
  <si>
    <t>4.15A-8</t>
  </si>
  <si>
    <t>4.15A-13</t>
  </si>
  <si>
    <t>4.15A-5</t>
  </si>
  <si>
    <t>4.15A-4</t>
  </si>
  <si>
    <t>4.15A-7</t>
  </si>
  <si>
    <t>4.15A-6</t>
  </si>
  <si>
    <t>D2-18</t>
  </si>
  <si>
    <t>D18-7550</t>
  </si>
  <si>
    <t>D18-6930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</si>
</sst>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_ "/>
    <numFmt numFmtId="179" formatCode="0.0_);[Red]\(0.0\)"/>
    <numFmt numFmtId="180" formatCode="0_ "/>
    <numFmt numFmtId="181" formatCode="0_);[Red]\(0\)"/>
    <numFmt numFmtId="182" formatCode="0.0%"/>
    <numFmt numFmtId="183" formatCode="0.000_ "/>
  </numFmts>
  <fonts count="34">
    <font>
      <sz val="11"/>
      <color theme="1"/>
      <name val="宋体"/>
      <charset val="134"/>
      <scheme val="minor"/>
    </font>
    <font>
      <b/>
      <sz val="11"/>
      <color theme="1"/>
      <name val="Microsoft YaHei"/>
      <charset val="134"/>
    </font>
    <font>
      <b/>
      <sz val="11"/>
      <name val="Microsoft YaHei"/>
      <charset val="134"/>
    </font>
    <font>
      <sz val="10"/>
      <color theme="1"/>
      <name val="Microsoft YaHei"/>
      <charset val="134"/>
    </font>
    <font>
      <sz val="10"/>
      <name val="Microsoft YaHei"/>
      <charset val="134"/>
    </font>
    <font>
      <b/>
      <sz val="16"/>
      <name val="Microsoft YaHei"/>
      <charset val="134"/>
    </font>
    <font>
      <b/>
      <sz val="16"/>
      <color theme="1"/>
      <name val="Microsoft YaHei"/>
      <charset val="134"/>
    </font>
    <font>
      <sz val="12"/>
      <name val="Calibri"/>
      <charset val="134"/>
    </font>
    <font>
      <sz val="11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0"/>
      <name val="Calibri"/>
      <charset val="134"/>
    </font>
    <font>
      <b/>
      <sz val="12"/>
      <color theme="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9" borderId="20" applyNumberFormat="0" applyAlignment="0" applyProtection="0">
      <alignment vertical="center"/>
    </xf>
    <xf numFmtId="0" fontId="24" fillId="10" borderId="21" applyNumberFormat="0" applyAlignment="0" applyProtection="0">
      <alignment vertical="center"/>
    </xf>
    <xf numFmtId="0" fontId="25" fillId="10" borderId="20" applyNumberFormat="0" applyAlignment="0" applyProtection="0">
      <alignment vertical="center"/>
    </xf>
    <xf numFmtId="0" fontId="26" fillId="11" borderId="22" applyNumberFormat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</cellStyleXfs>
  <cellXfs count="158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 shrinkToFit="1"/>
    </xf>
    <xf numFmtId="178" fontId="0" fillId="0" borderId="0" xfId="0" applyNumberForma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8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8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178" fontId="3" fillId="0" borderId="0" xfId="0" applyNumberFormat="1" applyFont="1" applyFill="1" applyBorder="1" applyAlignment="1">
      <alignment vertical="center" wrapText="1"/>
    </xf>
    <xf numFmtId="178" fontId="2" fillId="0" borderId="1" xfId="0" applyNumberFormat="1" applyFont="1" applyFill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1" xfId="0" applyFont="1" applyFill="1" applyBorder="1" applyAlignment="1"/>
    <xf numFmtId="178" fontId="3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 shrinkToFit="1"/>
    </xf>
    <xf numFmtId="179" fontId="4" fillId="0" borderId="1" xfId="0" applyNumberFormat="1" applyFont="1" applyFill="1" applyBorder="1" applyAlignment="1">
      <alignment horizontal="center" vertical="center" wrapText="1" shrinkToFit="1"/>
    </xf>
    <xf numFmtId="178" fontId="3" fillId="0" borderId="0" xfId="0" applyNumberFormat="1" applyFont="1" applyAlignment="1">
      <alignment horizontal="center" vertical="center" wrapText="1"/>
    </xf>
    <xf numFmtId="0" fontId="0" fillId="0" borderId="0" xfId="0" applyFill="1">
      <alignment vertical="center"/>
    </xf>
    <xf numFmtId="0" fontId="7" fillId="2" borderId="1" xfId="0" applyFont="1" applyFill="1" applyBorder="1" applyAlignment="1"/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2" borderId="0" xfId="0" applyFill="1">
      <alignment vertical="center"/>
    </xf>
    <xf numFmtId="178" fontId="0" fillId="0" borderId="1" xfId="0" applyNumberFormat="1" applyBorder="1">
      <alignment vertical="center"/>
    </xf>
    <xf numFmtId="180" fontId="4" fillId="0" borderId="1" xfId="0" applyNumberFormat="1" applyFont="1" applyFill="1" applyBorder="1" applyAlignment="1">
      <alignment horizontal="center" vertical="center" wrapText="1" shrinkToFit="1"/>
    </xf>
    <xf numFmtId="0" fontId="4" fillId="5" borderId="1" xfId="0" applyFont="1" applyFill="1" applyBorder="1" applyAlignment="1">
      <alignment horizontal="center" vertical="center" wrapText="1" shrinkToFit="1"/>
    </xf>
    <xf numFmtId="0" fontId="0" fillId="5" borderId="1" xfId="0" applyFill="1" applyBorder="1">
      <alignment vertical="center"/>
    </xf>
    <xf numFmtId="0" fontId="8" fillId="5" borderId="1" xfId="0" applyFont="1" applyFill="1" applyBorder="1">
      <alignment vertical="center"/>
    </xf>
    <xf numFmtId="0" fontId="0" fillId="6" borderId="1" xfId="0" applyFill="1" applyBorder="1">
      <alignment vertical="center"/>
    </xf>
    <xf numFmtId="49" fontId="0" fillId="0" borderId="1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78" fontId="0" fillId="3" borderId="1" xfId="0" applyNumberForma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49" fontId="0" fillId="3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181" fontId="0" fillId="3" borderId="1" xfId="0" applyNumberFormat="1" applyFill="1" applyBorder="1" applyAlignment="1">
      <alignment horizontal="center" vertical="center" wrapText="1"/>
    </xf>
    <xf numFmtId="177" fontId="0" fillId="3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80" fontId="0" fillId="0" borderId="1" xfId="0" applyNumberFormat="1" applyBorder="1">
      <alignment vertical="center"/>
    </xf>
    <xf numFmtId="180" fontId="0" fillId="0" borderId="0" xfId="0" applyNumberFormat="1">
      <alignment vertical="center"/>
    </xf>
    <xf numFmtId="0" fontId="0" fillId="5" borderId="0" xfId="0" applyFill="1">
      <alignment vertical="center"/>
    </xf>
    <xf numFmtId="180" fontId="0" fillId="5" borderId="0" xfId="0" applyNumberFormat="1" applyFill="1">
      <alignment vertical="center"/>
    </xf>
    <xf numFmtId="0" fontId="0" fillId="0" borderId="6" xfId="0" applyNumberForma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177" fontId="0" fillId="0" borderId="0" xfId="0" applyNumberFormat="1">
      <alignment vertical="center"/>
    </xf>
    <xf numFmtId="0" fontId="0" fillId="3" borderId="0" xfId="0" applyFill="1">
      <alignment vertical="center"/>
    </xf>
    <xf numFmtId="49" fontId="0" fillId="0" borderId="7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0" fillId="0" borderId="9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81" fontId="0" fillId="0" borderId="1" xfId="0" applyNumberFormat="1" applyBorder="1" applyAlignment="1">
      <alignment horizontal="center" vertical="center" wrapText="1"/>
    </xf>
    <xf numFmtId="181" fontId="0" fillId="6" borderId="1" xfId="0" applyNumberFormat="1" applyFill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49" fontId="0" fillId="0" borderId="6" xfId="0" applyNumberFormat="1" applyFon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0" fontId="0" fillId="7" borderId="0" xfId="0" applyFill="1">
      <alignment vertical="center"/>
    </xf>
    <xf numFmtId="49" fontId="0" fillId="0" borderId="5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/>
    </xf>
    <xf numFmtId="178" fontId="11" fillId="3" borderId="1" xfId="0" applyNumberFormat="1" applyFont="1" applyFill="1" applyBorder="1" applyAlignment="1">
      <alignment horizontal="center" vertical="center"/>
    </xf>
    <xf numFmtId="178" fontId="11" fillId="3" borderId="0" xfId="0" applyNumberFormat="1" applyFont="1" applyFill="1">
      <alignment vertical="center"/>
    </xf>
    <xf numFmtId="182" fontId="0" fillId="3" borderId="0" xfId="3" applyNumberFormat="1" applyFill="1">
      <alignment vertical="center"/>
    </xf>
    <xf numFmtId="178" fontId="0" fillId="3" borderId="0" xfId="0" applyNumberFormat="1" applyFill="1">
      <alignment vertical="center"/>
    </xf>
    <xf numFmtId="178" fontId="0" fillId="4" borderId="1" xfId="0" applyNumberFormat="1" applyFill="1" applyBorder="1" applyAlignment="1">
      <alignment horizontal="center" vertical="center"/>
    </xf>
    <xf numFmtId="49" fontId="0" fillId="4" borderId="1" xfId="0" applyNumberFormat="1" applyFill="1" applyBorder="1" applyAlignment="1">
      <alignment horizontal="center" vertical="center" wrapText="1"/>
    </xf>
    <xf numFmtId="0" fontId="0" fillId="4" borderId="1" xfId="0" applyFill="1" applyBorder="1">
      <alignment vertical="center"/>
    </xf>
    <xf numFmtId="0" fontId="11" fillId="3" borderId="1" xfId="0" applyFont="1" applyFill="1" applyBorder="1" applyAlignment="1">
      <alignment horizontal="center" vertical="center"/>
    </xf>
    <xf numFmtId="180" fontId="11" fillId="3" borderId="0" xfId="0" applyNumberFormat="1" applyFont="1" applyFill="1">
      <alignment vertical="center"/>
    </xf>
    <xf numFmtId="49" fontId="0" fillId="0" borderId="10" xfId="0" applyNumberFormat="1" applyFill="1" applyBorder="1" applyAlignment="1">
      <alignment horizontal="center" vertical="center" wrapText="1"/>
    </xf>
    <xf numFmtId="49" fontId="0" fillId="0" borderId="11" xfId="0" applyNumberFormat="1" applyFill="1" applyBorder="1" applyAlignment="1">
      <alignment horizontal="center" vertical="center" wrapText="1"/>
    </xf>
    <xf numFmtId="177" fontId="0" fillId="0" borderId="11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 wrapText="1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9" fontId="0" fillId="3" borderId="9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49" fontId="0" fillId="3" borderId="5" xfId="0" applyNumberFormat="1" applyFill="1" applyBorder="1" applyAlignment="1">
      <alignment horizontal="center" vertical="center" wrapText="1"/>
    </xf>
    <xf numFmtId="49" fontId="0" fillId="3" borderId="6" xfId="0" applyNumberFormat="1" applyFill="1" applyBorder="1" applyAlignment="1">
      <alignment horizontal="center" vertical="center" wrapText="1"/>
    </xf>
    <xf numFmtId="180" fontId="11" fillId="3" borderId="1" xfId="0" applyNumberFormat="1" applyFon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49" fontId="0" fillId="3" borderId="3" xfId="0" applyNumberFormat="1" applyFill="1" applyBorder="1" applyAlignment="1">
      <alignment horizontal="center" vertical="center" wrapText="1"/>
    </xf>
    <xf numFmtId="180" fontId="0" fillId="3" borderId="0" xfId="0" applyNumberFormat="1" applyFill="1">
      <alignment vertical="center"/>
    </xf>
    <xf numFmtId="177" fontId="0" fillId="0" borderId="1" xfId="0" applyNumberFormat="1" applyBorder="1" applyAlignment="1">
      <alignment horizontal="center" vertical="center" wrapText="1"/>
    </xf>
    <xf numFmtId="177" fontId="11" fillId="3" borderId="0" xfId="0" applyNumberFormat="1" applyFont="1" applyFill="1">
      <alignment vertical="center"/>
    </xf>
    <xf numFmtId="181" fontId="0" fillId="4" borderId="1" xfId="0" applyNumberFormat="1" applyFill="1" applyBorder="1" applyAlignment="1">
      <alignment horizontal="center" vertical="center" wrapText="1"/>
    </xf>
    <xf numFmtId="0" fontId="12" fillId="0" borderId="0" xfId="0" applyFont="1" applyFill="1" applyAlignment="1"/>
    <xf numFmtId="58" fontId="0" fillId="0" borderId="0" xfId="0" applyNumberFormat="1">
      <alignment vertical="center"/>
    </xf>
    <xf numFmtId="178" fontId="0" fillId="0" borderId="0" xfId="0" applyNumberFormat="1" applyFill="1" applyAlignment="1">
      <alignment horizontal="center" vertical="center" wrapText="1"/>
    </xf>
    <xf numFmtId="178" fontId="0" fillId="2" borderId="0" xfId="0" applyNumberFormat="1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178" fontId="0" fillId="2" borderId="0" xfId="0" applyNumberFormat="1" applyFill="1">
      <alignment vertical="center"/>
    </xf>
    <xf numFmtId="0" fontId="0" fillId="0" borderId="0" xfId="0" applyFill="1" applyAlignment="1">
      <alignment horizontal="center" vertical="center"/>
    </xf>
    <xf numFmtId="49" fontId="0" fillId="0" borderId="7" xfId="0" applyNumberFormat="1" applyFill="1" applyBorder="1" applyAlignment="1">
      <alignment horizontal="center" vertical="center" wrapText="1"/>
    </xf>
    <xf numFmtId="49" fontId="0" fillId="0" borderId="8" xfId="0" applyNumberForma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49" fontId="0" fillId="0" borderId="9" xfId="0" applyNumberForma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181" fontId="0" fillId="0" borderId="1" xfId="0" applyNumberForma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/>
    </xf>
    <xf numFmtId="49" fontId="0" fillId="0" borderId="6" xfId="0" applyNumberFormat="1" applyFill="1" applyBorder="1" applyAlignment="1">
      <alignment vertical="center" wrapText="1"/>
    </xf>
    <xf numFmtId="49" fontId="0" fillId="0" borderId="5" xfId="0" applyNumberFormat="1" applyFill="1" applyBorder="1" applyAlignment="1">
      <alignment vertical="center" wrapText="1"/>
    </xf>
    <xf numFmtId="183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9" fontId="0" fillId="0" borderId="1" xfId="0" applyNumberFormat="1" applyBorder="1" applyAlignment="1">
      <alignment horizontal="center" vertical="center"/>
    </xf>
    <xf numFmtId="182" fontId="0" fillId="0" borderId="0" xfId="3" applyNumberFormat="1" applyFont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182" fontId="0" fillId="0" borderId="1" xfId="3" applyNumberFormat="1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 shrinkToFit="1"/>
    </xf>
    <xf numFmtId="178" fontId="4" fillId="6" borderId="1" xfId="0" applyNumberFormat="1" applyFont="1" applyFill="1" applyBorder="1" applyAlignment="1">
      <alignment horizontal="center" vertical="center" wrapText="1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5" Type="http://schemas.openxmlformats.org/officeDocument/2006/relationships/sharedStrings" Target="sharedStrings.xml"/><Relationship Id="rId74" Type="http://schemas.openxmlformats.org/officeDocument/2006/relationships/styles" Target="styles.xml"/><Relationship Id="rId73" Type="http://schemas.openxmlformats.org/officeDocument/2006/relationships/theme" Target="theme/theme1.xml"/><Relationship Id="rId72" Type="http://schemas.openxmlformats.org/officeDocument/2006/relationships/externalLink" Target="externalLinks/externalLink25.xml"/><Relationship Id="rId71" Type="http://schemas.openxmlformats.org/officeDocument/2006/relationships/externalLink" Target="externalLinks/externalLink24.xml"/><Relationship Id="rId70" Type="http://schemas.openxmlformats.org/officeDocument/2006/relationships/externalLink" Target="externalLinks/externalLink23.xml"/><Relationship Id="rId7" Type="http://schemas.openxmlformats.org/officeDocument/2006/relationships/worksheet" Target="worksheets/sheet7.xml"/><Relationship Id="rId69" Type="http://schemas.openxmlformats.org/officeDocument/2006/relationships/externalLink" Target="externalLinks/externalLink22.xml"/><Relationship Id="rId68" Type="http://schemas.openxmlformats.org/officeDocument/2006/relationships/externalLink" Target="externalLinks/externalLink21.xml"/><Relationship Id="rId67" Type="http://schemas.openxmlformats.org/officeDocument/2006/relationships/externalLink" Target="externalLinks/externalLink20.xml"/><Relationship Id="rId66" Type="http://schemas.openxmlformats.org/officeDocument/2006/relationships/externalLink" Target="externalLinks/externalLink19.xml"/><Relationship Id="rId65" Type="http://schemas.openxmlformats.org/officeDocument/2006/relationships/externalLink" Target="externalLinks/externalLink18.xml"/><Relationship Id="rId64" Type="http://schemas.openxmlformats.org/officeDocument/2006/relationships/externalLink" Target="externalLinks/externalLink17.xml"/><Relationship Id="rId63" Type="http://schemas.openxmlformats.org/officeDocument/2006/relationships/externalLink" Target="externalLinks/externalLink16.xml"/><Relationship Id="rId62" Type="http://schemas.openxmlformats.org/officeDocument/2006/relationships/externalLink" Target="externalLinks/externalLink15.xml"/><Relationship Id="rId61" Type="http://schemas.openxmlformats.org/officeDocument/2006/relationships/externalLink" Target="externalLinks/externalLink14.xml"/><Relationship Id="rId60" Type="http://schemas.openxmlformats.org/officeDocument/2006/relationships/externalLink" Target="externalLinks/externalLink13.xml"/><Relationship Id="rId6" Type="http://schemas.openxmlformats.org/officeDocument/2006/relationships/worksheet" Target="worksheets/sheet6.xml"/><Relationship Id="rId59" Type="http://schemas.openxmlformats.org/officeDocument/2006/relationships/externalLink" Target="externalLinks/externalLink12.xml"/><Relationship Id="rId58" Type="http://schemas.openxmlformats.org/officeDocument/2006/relationships/externalLink" Target="externalLinks/externalLink11.xml"/><Relationship Id="rId57" Type="http://schemas.openxmlformats.org/officeDocument/2006/relationships/externalLink" Target="externalLinks/externalLink10.xml"/><Relationship Id="rId56" Type="http://schemas.openxmlformats.org/officeDocument/2006/relationships/externalLink" Target="externalLinks/externalLink9.xml"/><Relationship Id="rId55" Type="http://schemas.openxmlformats.org/officeDocument/2006/relationships/externalLink" Target="externalLinks/externalLink8.xml"/><Relationship Id="rId54" Type="http://schemas.openxmlformats.org/officeDocument/2006/relationships/externalLink" Target="externalLinks/externalLink7.xml"/><Relationship Id="rId53" Type="http://schemas.openxmlformats.org/officeDocument/2006/relationships/externalLink" Target="externalLinks/externalLink6.xml"/><Relationship Id="rId52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.xml"/><Relationship Id="rId50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49" Type="http://schemas.openxmlformats.org/officeDocument/2006/relationships/externalLink" Target="externalLinks/externalLink2.xml"/><Relationship Id="rId48" Type="http://schemas.openxmlformats.org/officeDocument/2006/relationships/externalLink" Target="externalLinks/externalLink1.xml"/><Relationship Id="rId47" Type="http://schemas.openxmlformats.org/officeDocument/2006/relationships/customXml" Target="../customXml/item2.xml"/><Relationship Id="rId46" Type="http://schemas.openxmlformats.org/officeDocument/2006/relationships/customXml" Target="../customXml/item1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&#32447;&#26632;&#36947;&#26725;&#32467;&#26500;&#26045;&#24037;&#22270;2024.02.23\&#26045;&#24037;\&#38548;&#26495;&#19979;&#26009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\&#26045;&#24037;4.8\D10\D10Z&#27719;&#2463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\&#26045;&#24037;4.8\D2\D2&#27719;&#2463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\&#26045;&#24037;4.8\D3\D3&#27719;&#24635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\&#26045;&#24037;4.8\D4\D4&#27719;&#24635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\&#26045;&#24037;4.8\D7\D7&#27719;&#24635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\&#26045;&#24037;4.8\D8\D8&#27719;&#24635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\&#26045;&#24037;4.8\D9\D9&#27719;&#24635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\&#26045;&#24037;4.8\D12\D12&#27719;&#24635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\&#26045;&#24037;4.8\D13\D13&#27719;&#24635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\&#26045;&#24037;4.8\D14\D14&#27719;&#2463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&#32447;&#26632;&#36947;&#26725;&#32467;&#26500;&#26045;&#24037;&#22270;2024.02.23\&#26045;&#24037;\&#25490;&#29256;\&#38754;&#26495;\DAM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\&#26045;&#24037;4.8\D15\D15&#27719;&#24635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\&#26045;&#24037;4.8\D16\D16&#27719;&#24635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\&#26045;&#24037;4.8\D17\D17&#27719;&#24635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\&#26045;&#24037;4.8\D11\D11&#27719;&#24635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\&#26045;&#24037;4.8\D18\D18&#27719;&#24635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\&#26045;&#24037;4.8\A\A&#38754;&#24213;&#33145;&#27719;&#2463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&#32447;&#26632;&#36947;&#26725;&#32467;&#26500;&#26045;&#24037;&#22270;2024.02.23\&#26045;&#24037;\&#25490;&#29256;\&#24213;&#26495;\DA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&#32447;&#26632;&#36947;&#26725;&#32467;&#26500;&#26045;&#24037;&#22270;2024.02.23\&#26045;&#24037;\&#25490;&#29256;\&#32437;&#26753;&#38754;&#24213;&#26495;\D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&#32447;&#26632;&#36947;&#26725;&#32467;&#26500;&#26045;&#24037;&#22270;2024.02.23\&#26045;&#24037;\D2-D18\&#23884;&#34917;\&#23884;&#3491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&#32447;&#26632;&#36947;&#26725;&#32467;&#26500;&#26045;&#24037;&#22270;2024.02.23\&#26045;&#24037;\&#26632;&#36947;&#26725;&#65288;&#20027;&#32447;D&#65289;&#20272;&#26009;(1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&#32447;&#26632;&#36947;&#26725;&#32467;&#26500;&#26045;&#24037;&#22270;2024.02.23\&#26045;&#24037;\D2-D18\D12\D12&#38754;&#24213;&#33145;&#27719;&#24635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&#32447;&#26632;&#36947;&#26725;&#32467;&#26500;&#26045;&#24037;&#22270;2024.02.23\&#26045;&#24037;\D2-D18\D15\D15&#38754;&#24213;&#33145;&#27719;&#24635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llj\&#24037;&#20316;\llj-&#20027;&#32447;D&#32447;&#26632;&#36947;&#26725;&#32467;&#26500;&#26045;&#24037;&#22270;2024.02.23\&#26045;&#24037;\D2-D18\D16\D16&#38754;&#24213;&#33145;&#32479;&#3574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3">
          <cell r="I3">
            <v>101</v>
          </cell>
        </row>
        <row r="4">
          <cell r="I4">
            <v>100</v>
          </cell>
        </row>
        <row r="6">
          <cell r="I6">
            <v>120</v>
          </cell>
        </row>
        <row r="7">
          <cell r="I7">
            <v>122</v>
          </cell>
        </row>
        <row r="9">
          <cell r="I9">
            <v>102</v>
          </cell>
        </row>
        <row r="10">
          <cell r="I10">
            <v>102</v>
          </cell>
        </row>
        <row r="12">
          <cell r="I12">
            <v>76</v>
          </cell>
        </row>
        <row r="13">
          <cell r="I13">
            <v>77</v>
          </cell>
        </row>
      </sheetData>
      <sheetData sheetId="2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43">
          <cell r="Q43">
            <v>97128.8664</v>
          </cell>
        </row>
      </sheetData>
      <sheetData sheetId="2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30">
          <cell r="Q30">
            <v>72794.8712</v>
          </cell>
        </row>
      </sheetData>
      <sheetData sheetId="2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33">
          <cell r="O33">
            <v>81410.78</v>
          </cell>
        </row>
      </sheetData>
      <sheetData sheetId="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37">
          <cell r="P37">
            <v>105997.9848</v>
          </cell>
        </row>
      </sheetData>
      <sheetData sheetId="2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40">
          <cell r="Q40">
            <v>98424.556</v>
          </cell>
        </row>
      </sheetData>
      <sheetData sheetId="2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31">
          <cell r="Q31">
            <v>107272.1968</v>
          </cell>
        </row>
      </sheetData>
      <sheetData sheetId="2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46">
          <cell r="Q46">
            <v>100053.9648</v>
          </cell>
        </row>
      </sheetData>
      <sheetData sheetId="2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45">
          <cell r="O45">
            <v>96667.2864</v>
          </cell>
        </row>
      </sheetData>
      <sheetData sheetId="2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34">
          <cell r="O34">
            <v>74691.0544</v>
          </cell>
        </row>
      </sheetData>
      <sheetData sheetId="2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36">
          <cell r="N36">
            <v>79244.6824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钢板清单"/>
      <sheetName val="零件详情"/>
      <sheetName val="零件汇总"/>
      <sheetName val="余料清单"/>
    </sheetNames>
    <sheetDataSet>
      <sheetData sheetId="0"/>
      <sheetData sheetId="1"/>
      <sheetData sheetId="2">
        <row r="68">
          <cell r="Q68">
            <v>28080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27">
          <cell r="O27">
            <v>69313.7416</v>
          </cell>
        </row>
      </sheetData>
      <sheetData sheetId="2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54">
          <cell r="O54">
            <v>118991.3048</v>
          </cell>
        </row>
      </sheetData>
      <sheetData sheetId="2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32">
          <cell r="O32">
            <v>79874.1896</v>
          </cell>
        </row>
      </sheetData>
      <sheetData sheetId="2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42">
          <cell r="N42">
            <v>106612.9224</v>
          </cell>
        </row>
      </sheetData>
      <sheetData sheetId="2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39">
          <cell r="O39">
            <v>132199.024</v>
          </cell>
        </row>
      </sheetData>
      <sheetData sheetId="2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17">
          <cell r="M17">
            <v>30361.5392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钢板清单"/>
      <sheetName val="零件详情"/>
      <sheetName val="零件汇总"/>
      <sheetName val="余料清单"/>
    </sheetNames>
    <sheetDataSet>
      <sheetData sheetId="0"/>
      <sheetData sheetId="1"/>
      <sheetData sheetId="2">
        <row r="4">
          <cell r="Q4">
            <v>63480</v>
          </cell>
        </row>
        <row r="43">
          <cell r="Q43">
            <v>11080</v>
          </cell>
        </row>
      </sheetData>
      <sheetData sheetId="3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钢板清单"/>
      <sheetName val="零件详情"/>
      <sheetName val="零件汇总"/>
      <sheetName val="余料清单"/>
    </sheetNames>
    <sheetDataSet>
      <sheetData sheetId="0"/>
      <sheetData sheetId="1"/>
      <sheetData sheetId="2">
        <row r="92">
          <cell r="Q92">
            <v>137840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钢板清单"/>
      <sheetName val="零件详情"/>
      <sheetName val="零件汇总"/>
      <sheetName val="余料清单"/>
    </sheetNames>
    <sheetDataSet>
      <sheetData sheetId="0">
        <row r="8">
          <cell r="W8">
            <v>56227.8544</v>
          </cell>
        </row>
      </sheetData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D桥估料表"/>
      <sheetName val="钢栈桥工程数量表"/>
      <sheetName val="钢构栈桥路灯底座工程数量表"/>
      <sheetName val="基础主要工程数量表"/>
      <sheetName val="灯座汇总"/>
    </sheetNames>
    <sheetDataSet>
      <sheetData sheetId="0" refreshError="1">
        <row r="6">
          <cell r="G6">
            <v>14136.73216</v>
          </cell>
        </row>
        <row r="18">
          <cell r="G18">
            <v>14051.32416</v>
          </cell>
        </row>
        <row r="24">
          <cell r="G24">
            <v>125608.2077088</v>
          </cell>
        </row>
        <row r="30">
          <cell r="G30">
            <v>11829.008</v>
          </cell>
        </row>
        <row r="42">
          <cell r="G42">
            <v>16171.15072</v>
          </cell>
        </row>
        <row r="48">
          <cell r="G48">
            <v>144761.9173216</v>
          </cell>
        </row>
        <row r="72">
          <cell r="G72">
            <v>20661.90336</v>
          </cell>
        </row>
        <row r="84">
          <cell r="G84">
            <v>14769.60544</v>
          </cell>
        </row>
        <row r="96">
          <cell r="G96">
            <v>16733.13536</v>
          </cell>
        </row>
        <row r="102">
          <cell r="G102">
            <v>149553.6628256</v>
          </cell>
        </row>
        <row r="108">
          <cell r="G108">
            <v>15418.70624</v>
          </cell>
        </row>
        <row r="120">
          <cell r="G120">
            <v>16784.38016</v>
          </cell>
        </row>
        <row r="126">
          <cell r="G126">
            <v>149990.6001056</v>
          </cell>
        </row>
        <row r="132">
          <cell r="G132">
            <v>15418.70624</v>
          </cell>
        </row>
        <row r="144">
          <cell r="G144">
            <v>14051.32416</v>
          </cell>
        </row>
        <row r="150">
          <cell r="G150">
            <v>125608.2077088</v>
          </cell>
        </row>
        <row r="156">
          <cell r="G156">
            <v>10818.118912</v>
          </cell>
        </row>
        <row r="162">
          <cell r="G162">
            <v>96826.4236096</v>
          </cell>
        </row>
        <row r="168">
          <cell r="G168">
            <v>11316.56</v>
          </cell>
        </row>
        <row r="174">
          <cell r="G174">
            <v>101211.250736</v>
          </cell>
        </row>
        <row r="180">
          <cell r="G180">
            <v>9915.01472</v>
          </cell>
        </row>
        <row r="186">
          <cell r="G186">
            <v>88721.4807296</v>
          </cell>
        </row>
        <row r="192">
          <cell r="G192">
            <v>16786.08832</v>
          </cell>
        </row>
        <row r="198">
          <cell r="G198">
            <v>150005.1646816</v>
          </cell>
        </row>
        <row r="204">
          <cell r="G204">
            <v>11316.56</v>
          </cell>
        </row>
        <row r="210">
          <cell r="G210">
            <v>101211.250736</v>
          </cell>
        </row>
        <row r="216">
          <cell r="G216">
            <v>19401.28128</v>
          </cell>
        </row>
        <row r="222">
          <cell r="G222">
            <v>173382.6013344</v>
          </cell>
        </row>
        <row r="246">
          <cell r="G246">
            <v>51011.2636576</v>
          </cell>
        </row>
      </sheetData>
      <sheetData sheetId="1" refreshError="1">
        <row r="352">
          <cell r="Q352">
            <v>2116208.1370672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46">
          <cell r="M46">
            <v>95965.1824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28">
          <cell r="M28">
            <v>65905.94984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57">
          <cell r="N57">
            <v>118480.91664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66"/>
  <sheetViews>
    <sheetView zoomScale="85" zoomScaleNormal="85" topLeftCell="A29" workbookViewId="0">
      <selection activeCell="O206" sqref="O206"/>
    </sheetView>
  </sheetViews>
  <sheetFormatPr defaultColWidth="8.75" defaultRowHeight="13.5"/>
  <cols>
    <col min="1" max="1" width="12.5" customWidth="1"/>
    <col min="2" max="4" width="13.5" customWidth="1"/>
    <col min="5" max="6" width="13.125" customWidth="1"/>
    <col min="7" max="7" width="10.375"/>
    <col min="11" max="11" width="12.625"/>
    <col min="12" max="12" width="13.75"/>
  </cols>
  <sheetData>
    <row r="1" spans="1:11">
      <c r="A1" s="70" t="s">
        <v>0</v>
      </c>
      <c r="B1" s="70" t="s">
        <v>1</v>
      </c>
      <c r="C1" s="70"/>
      <c r="D1" s="70"/>
      <c r="E1" s="70" t="s">
        <v>2</v>
      </c>
      <c r="F1" s="70" t="s">
        <v>3</v>
      </c>
      <c r="G1" t="s">
        <v>4</v>
      </c>
      <c r="H1" t="s">
        <v>5</v>
      </c>
      <c r="I1" t="s">
        <v>6</v>
      </c>
      <c r="J1" t="s">
        <v>3</v>
      </c>
      <c r="K1" t="s">
        <v>7</v>
      </c>
    </row>
    <row r="2" spans="1:6">
      <c r="A2" s="70"/>
      <c r="B2" s="70" t="s">
        <v>8</v>
      </c>
      <c r="C2" s="70" t="s">
        <v>9</v>
      </c>
      <c r="D2" s="70" t="s">
        <v>10</v>
      </c>
      <c r="E2" s="70"/>
      <c r="F2" s="70"/>
    </row>
    <row r="3" spans="1:12">
      <c r="A3" s="70" t="s">
        <v>11</v>
      </c>
      <c r="B3" s="70">
        <v>16</v>
      </c>
      <c r="C3" s="70">
        <v>4500</v>
      </c>
      <c r="D3" s="70">
        <v>97055</v>
      </c>
      <c r="E3" s="70">
        <v>1</v>
      </c>
      <c r="F3" s="70">
        <v>54855.49</v>
      </c>
      <c r="K3">
        <v>57379</v>
      </c>
      <c r="L3">
        <f>(K3-F3)/F3</f>
        <v>0.0460028704510707</v>
      </c>
    </row>
    <row r="4" spans="1:12">
      <c r="A4" s="70" t="s">
        <v>12</v>
      </c>
      <c r="B4" s="70" t="s">
        <v>13</v>
      </c>
      <c r="C4" s="70"/>
      <c r="D4" s="70">
        <v>97055</v>
      </c>
      <c r="E4" s="70">
        <v>2</v>
      </c>
      <c r="F4" s="70">
        <v>45834.81</v>
      </c>
      <c r="K4">
        <v>29148</v>
      </c>
      <c r="L4">
        <f>(K4+K5-F4)/F4</f>
        <v>0.00545633329777093</v>
      </c>
    </row>
    <row r="5" spans="1:11">
      <c r="A5" s="70" t="s">
        <v>14</v>
      </c>
      <c r="B5" s="70">
        <v>16</v>
      </c>
      <c r="C5" s="70">
        <v>340</v>
      </c>
      <c r="D5" s="70">
        <v>97055</v>
      </c>
      <c r="E5" s="70">
        <v>4</v>
      </c>
      <c r="F5" s="70"/>
      <c r="K5">
        <v>16936.9</v>
      </c>
    </row>
    <row r="6" spans="1:12">
      <c r="A6" s="70" t="s">
        <v>15</v>
      </c>
      <c r="B6" s="70">
        <v>12</v>
      </c>
      <c r="C6" s="70">
        <v>308</v>
      </c>
      <c r="D6" s="70">
        <v>568</v>
      </c>
      <c r="E6" s="70">
        <v>100</v>
      </c>
      <c r="F6" s="70">
        <v>1647.97</v>
      </c>
      <c r="G6">
        <v>12</v>
      </c>
      <c r="H6">
        <v>1960</v>
      </c>
      <c r="I6">
        <v>11420</v>
      </c>
      <c r="J6">
        <v>1</v>
      </c>
      <c r="K6">
        <f>G6*H6*I6*J6*7.85/1000000</f>
        <v>2108.49744</v>
      </c>
      <c r="L6">
        <f>(SUM(K6:K8)-F6-F7-F8)/(F6+F7+F8)</f>
        <v>0.0265106719131045</v>
      </c>
    </row>
    <row r="7" spans="1:11">
      <c r="A7" s="70" t="s">
        <v>16</v>
      </c>
      <c r="B7" s="70">
        <v>12</v>
      </c>
      <c r="C7" s="70">
        <v>324</v>
      </c>
      <c r="D7" s="70">
        <v>2500</v>
      </c>
      <c r="E7" s="70">
        <v>50</v>
      </c>
      <c r="F7" s="70">
        <v>3815.1</v>
      </c>
      <c r="G7">
        <v>12</v>
      </c>
      <c r="H7">
        <v>1950</v>
      </c>
      <c r="I7">
        <v>10020</v>
      </c>
      <c r="J7">
        <v>2</v>
      </c>
      <c r="K7">
        <f>G7*H7*I7*J7*7.85/1000000</f>
        <v>3681.1476</v>
      </c>
    </row>
    <row r="8" spans="1:11">
      <c r="A8" s="70" t="s">
        <v>17</v>
      </c>
      <c r="B8" s="70">
        <v>12</v>
      </c>
      <c r="C8" s="70">
        <v>324</v>
      </c>
      <c r="D8" s="70">
        <v>400</v>
      </c>
      <c r="E8" s="70">
        <v>100</v>
      </c>
      <c r="F8" s="70">
        <v>1220.83</v>
      </c>
      <c r="G8">
        <v>12</v>
      </c>
      <c r="H8">
        <v>1780</v>
      </c>
      <c r="I8">
        <v>6390</v>
      </c>
      <c r="J8">
        <v>1</v>
      </c>
      <c r="K8">
        <f>G8*H8*I8*J8*7.85/1000000</f>
        <v>1071.44964</v>
      </c>
    </row>
    <row r="9" spans="1:12">
      <c r="A9" s="70" t="s">
        <v>18</v>
      </c>
      <c r="B9" s="70">
        <v>16</v>
      </c>
      <c r="C9" s="70">
        <v>2500</v>
      </c>
      <c r="D9" s="70">
        <v>97055</v>
      </c>
      <c r="E9" s="70">
        <v>1</v>
      </c>
      <c r="F9" s="70">
        <v>30475.27</v>
      </c>
      <c r="K9">
        <v>32309</v>
      </c>
      <c r="L9">
        <f>(K9-F9)/F9</f>
        <v>0.0601710829797406</v>
      </c>
    </row>
    <row r="10" spans="1:12">
      <c r="A10" s="70" t="s">
        <v>19</v>
      </c>
      <c r="B10" s="70">
        <v>16</v>
      </c>
      <c r="C10" s="70">
        <v>482</v>
      </c>
      <c r="D10" s="70">
        <v>97055</v>
      </c>
      <c r="E10" s="70">
        <v>2</v>
      </c>
      <c r="F10" s="70">
        <v>11751.26</v>
      </c>
      <c r="G10">
        <v>16</v>
      </c>
      <c r="H10">
        <v>1950</v>
      </c>
      <c r="I10">
        <v>9720</v>
      </c>
      <c r="J10">
        <v>5</v>
      </c>
      <c r="K10">
        <f>G10*H10*I10*J10*7.85/1000000</f>
        <v>11903.112</v>
      </c>
      <c r="L10">
        <f>(K10-F10)/F10</f>
        <v>0.0129221887695446</v>
      </c>
    </row>
    <row r="11" spans="6:6">
      <c r="F11">
        <f>SUM(F3:F10)</f>
        <v>149600.73</v>
      </c>
    </row>
    <row r="13" spans="1:6">
      <c r="A13" s="70" t="s">
        <v>0</v>
      </c>
      <c r="B13" s="70" t="s">
        <v>1</v>
      </c>
      <c r="C13" s="70"/>
      <c r="D13" s="70"/>
      <c r="E13" s="70" t="s">
        <v>2</v>
      </c>
      <c r="F13" s="70" t="s">
        <v>3</v>
      </c>
    </row>
    <row r="14" spans="1:6">
      <c r="A14" s="70"/>
      <c r="B14" s="70" t="s">
        <v>8</v>
      </c>
      <c r="C14" s="70" t="s">
        <v>9</v>
      </c>
      <c r="D14" s="70" t="s">
        <v>10</v>
      </c>
      <c r="E14" s="70"/>
      <c r="F14" s="70"/>
    </row>
    <row r="15" spans="1:12">
      <c r="A15" s="70" t="s">
        <v>11</v>
      </c>
      <c r="B15" s="70">
        <v>16</v>
      </c>
      <c r="C15" s="70">
        <v>4500</v>
      </c>
      <c r="D15" s="70">
        <v>113970</v>
      </c>
      <c r="E15" s="70">
        <v>1</v>
      </c>
      <c r="F15" s="70">
        <v>64415.84</v>
      </c>
      <c r="K15">
        <v>68792</v>
      </c>
      <c r="L15">
        <f t="shared" ref="L15:L21" si="0">(K15-F15)/F15</f>
        <v>0.0679360852858552</v>
      </c>
    </row>
    <row r="16" spans="1:12">
      <c r="A16" s="70" t="s">
        <v>12</v>
      </c>
      <c r="B16" s="70" t="s">
        <v>13</v>
      </c>
      <c r="C16" s="70"/>
      <c r="D16" s="70">
        <v>113970</v>
      </c>
      <c r="E16" s="70">
        <v>2</v>
      </c>
      <c r="F16" s="70">
        <v>53823.02</v>
      </c>
      <c r="K16">
        <v>54388</v>
      </c>
      <c r="L16">
        <f t="shared" si="0"/>
        <v>0.0104969955234768</v>
      </c>
    </row>
    <row r="17" spans="1:12">
      <c r="A17" s="70" t="s">
        <v>15</v>
      </c>
      <c r="B17" s="70">
        <v>12</v>
      </c>
      <c r="C17" s="70">
        <v>308</v>
      </c>
      <c r="D17" s="70">
        <v>568</v>
      </c>
      <c r="E17" s="70">
        <v>118</v>
      </c>
      <c r="F17" s="70">
        <v>1944.61</v>
      </c>
      <c r="K17">
        <v>8753</v>
      </c>
      <c r="L17">
        <f>(SUM(K17:K19)-F17-F18-F19)/(F17+F18+F19)</f>
        <v>0.109799531127766</v>
      </c>
    </row>
    <row r="18" spans="1:6">
      <c r="A18" s="70" t="s">
        <v>16</v>
      </c>
      <c r="B18" s="70">
        <v>12</v>
      </c>
      <c r="C18" s="70">
        <v>324</v>
      </c>
      <c r="D18" s="70">
        <v>2500</v>
      </c>
      <c r="E18" s="70">
        <v>59</v>
      </c>
      <c r="F18" s="70">
        <v>4501.82</v>
      </c>
    </row>
    <row r="19" spans="1:6">
      <c r="A19" s="70" t="s">
        <v>17</v>
      </c>
      <c r="B19" s="70">
        <v>12</v>
      </c>
      <c r="C19" s="70">
        <v>324</v>
      </c>
      <c r="D19" s="70">
        <v>400</v>
      </c>
      <c r="E19" s="70">
        <v>118</v>
      </c>
      <c r="F19" s="70">
        <v>1440.58</v>
      </c>
    </row>
    <row r="20" spans="1:12">
      <c r="A20" s="70" t="s">
        <v>18</v>
      </c>
      <c r="B20" s="70">
        <v>16</v>
      </c>
      <c r="C20" s="70">
        <v>2500</v>
      </c>
      <c r="D20" s="70">
        <v>113970</v>
      </c>
      <c r="E20" s="70">
        <v>1</v>
      </c>
      <c r="F20" s="70">
        <v>35786.58</v>
      </c>
      <c r="K20">
        <v>38202</v>
      </c>
      <c r="L20">
        <f t="shared" si="0"/>
        <v>0.0674951336506589</v>
      </c>
    </row>
    <row r="21" spans="1:12">
      <c r="A21" s="70" t="s">
        <v>19</v>
      </c>
      <c r="B21" s="70">
        <v>16</v>
      </c>
      <c r="C21" s="70">
        <v>482</v>
      </c>
      <c r="D21" s="70">
        <v>113970</v>
      </c>
      <c r="E21" s="70">
        <v>2</v>
      </c>
      <c r="F21" s="70">
        <v>13799.31</v>
      </c>
      <c r="K21">
        <v>13593</v>
      </c>
      <c r="L21">
        <f t="shared" si="0"/>
        <v>-0.0149507475373768</v>
      </c>
    </row>
    <row r="22" spans="6:11">
      <c r="F22">
        <f>SUM(F15:F21)</f>
        <v>175711.76</v>
      </c>
      <c r="K22">
        <f>SUM(K15:K21)</f>
        <v>183728</v>
      </c>
    </row>
    <row r="24" spans="1:7">
      <c r="A24" s="70" t="s">
        <v>0</v>
      </c>
      <c r="B24" s="70" t="s">
        <v>1</v>
      </c>
      <c r="C24" s="70"/>
      <c r="D24" s="70"/>
      <c r="E24" s="70" t="s">
        <v>2</v>
      </c>
      <c r="F24" s="70" t="s">
        <v>3</v>
      </c>
      <c r="G24" s="70"/>
    </row>
    <row r="25" spans="1:7">
      <c r="A25" s="70"/>
      <c r="B25" s="70" t="s">
        <v>8</v>
      </c>
      <c r="C25" s="70" t="s">
        <v>9</v>
      </c>
      <c r="D25" s="70" t="s">
        <v>10</v>
      </c>
      <c r="E25" s="70"/>
      <c r="F25" s="70"/>
      <c r="G25" s="70"/>
    </row>
    <row r="26" spans="1:7">
      <c r="A26" s="70" t="s">
        <v>11</v>
      </c>
      <c r="B26" s="70">
        <v>16</v>
      </c>
      <c r="C26" s="70">
        <v>4500</v>
      </c>
      <c r="D26" s="70">
        <v>98171</v>
      </c>
      <c r="E26" s="70">
        <v>1</v>
      </c>
      <c r="F26" s="70">
        <v>55486.25</v>
      </c>
      <c r="G26" s="70"/>
    </row>
    <row r="27" spans="1:7">
      <c r="A27" s="70" t="s">
        <v>12</v>
      </c>
      <c r="B27" s="70" t="s">
        <v>13</v>
      </c>
      <c r="C27" s="70"/>
      <c r="D27" s="70">
        <v>98171</v>
      </c>
      <c r="E27" s="70">
        <v>2</v>
      </c>
      <c r="F27" s="70">
        <v>46361.84</v>
      </c>
      <c r="G27" s="70"/>
    </row>
    <row r="28" spans="1:7">
      <c r="A28" s="70" t="s">
        <v>15</v>
      </c>
      <c r="B28" s="70">
        <v>12</v>
      </c>
      <c r="C28" s="70">
        <v>308</v>
      </c>
      <c r="D28" s="70">
        <v>568</v>
      </c>
      <c r="E28" s="70">
        <v>102</v>
      </c>
      <c r="F28" s="70">
        <v>1680.93</v>
      </c>
      <c r="G28" s="70"/>
    </row>
    <row r="29" spans="1:7">
      <c r="A29" s="70" t="s">
        <v>16</v>
      </c>
      <c r="B29" s="70">
        <v>12</v>
      </c>
      <c r="C29" s="70">
        <v>324</v>
      </c>
      <c r="D29" s="70">
        <v>2500</v>
      </c>
      <c r="E29" s="70">
        <v>51</v>
      </c>
      <c r="F29" s="70">
        <v>3891.4</v>
      </c>
      <c r="G29" s="70"/>
    </row>
    <row r="30" spans="1:7">
      <c r="A30" s="70" t="s">
        <v>17</v>
      </c>
      <c r="B30" s="70">
        <v>12</v>
      </c>
      <c r="C30" s="70">
        <v>324</v>
      </c>
      <c r="D30" s="70">
        <v>400</v>
      </c>
      <c r="E30" s="70">
        <v>102</v>
      </c>
      <c r="F30" s="70">
        <v>1245.25</v>
      </c>
      <c r="G30" s="70"/>
    </row>
    <row r="31" spans="1:7">
      <c r="A31" s="70" t="s">
        <v>18</v>
      </c>
      <c r="B31" s="70">
        <v>16</v>
      </c>
      <c r="C31" s="70">
        <v>2500</v>
      </c>
      <c r="D31" s="70">
        <v>98171</v>
      </c>
      <c r="E31" s="70">
        <v>1</v>
      </c>
      <c r="F31" s="70">
        <v>30825.69</v>
      </c>
      <c r="G31" s="70"/>
    </row>
    <row r="32" spans="1:7">
      <c r="A32" s="70" t="s">
        <v>19</v>
      </c>
      <c r="B32" s="70">
        <v>16</v>
      </c>
      <c r="C32" s="70">
        <v>482</v>
      </c>
      <c r="D32" s="70">
        <v>98171</v>
      </c>
      <c r="E32" s="70">
        <v>2</v>
      </c>
      <c r="F32" s="70">
        <v>11886.39</v>
      </c>
      <c r="G32" s="70"/>
    </row>
    <row r="33" spans="6:6">
      <c r="F33">
        <f>SUM(F26:F32)</f>
        <v>151377.75</v>
      </c>
    </row>
    <row r="35" spans="1:7">
      <c r="A35" s="70" t="s">
        <v>0</v>
      </c>
      <c r="B35" s="70" t="s">
        <v>1</v>
      </c>
      <c r="C35" s="70"/>
      <c r="D35" s="70"/>
      <c r="E35" s="70" t="s">
        <v>2</v>
      </c>
      <c r="F35" s="70" t="s">
        <v>3</v>
      </c>
      <c r="G35" s="70"/>
    </row>
    <row r="36" spans="1:7">
      <c r="A36" s="70"/>
      <c r="B36" s="70" t="s">
        <v>8</v>
      </c>
      <c r="C36" s="70" t="s">
        <v>9</v>
      </c>
      <c r="D36" s="70" t="s">
        <v>10</v>
      </c>
      <c r="E36" s="70"/>
      <c r="F36" s="70"/>
      <c r="G36" s="70"/>
    </row>
    <row r="37" spans="1:7">
      <c r="A37" s="70" t="s">
        <v>11</v>
      </c>
      <c r="B37" s="70">
        <v>16</v>
      </c>
      <c r="C37" s="70">
        <v>4500</v>
      </c>
      <c r="D37" s="70">
        <v>73495</v>
      </c>
      <c r="E37" s="70">
        <v>1</v>
      </c>
      <c r="F37" s="70">
        <v>41539.37</v>
      </c>
      <c r="G37" s="70"/>
    </row>
    <row r="38" spans="1:7">
      <c r="A38" s="70" t="s">
        <v>12</v>
      </c>
      <c r="B38" s="70" t="s">
        <v>13</v>
      </c>
      <c r="C38" s="70"/>
      <c r="D38" s="70">
        <v>73495</v>
      </c>
      <c r="E38" s="70">
        <v>2</v>
      </c>
      <c r="F38" s="70">
        <v>34708.45</v>
      </c>
      <c r="G38" s="70"/>
    </row>
    <row r="39" spans="1:7">
      <c r="A39" s="70" t="s">
        <v>15</v>
      </c>
      <c r="B39" s="70">
        <v>12</v>
      </c>
      <c r="C39" s="70">
        <v>308</v>
      </c>
      <c r="D39" s="70">
        <v>568</v>
      </c>
      <c r="E39" s="70">
        <v>76</v>
      </c>
      <c r="F39" s="70">
        <v>1252.46</v>
      </c>
      <c r="G39" s="70"/>
    </row>
    <row r="40" spans="1:7">
      <c r="A40" s="70" t="s">
        <v>16</v>
      </c>
      <c r="B40" s="70">
        <v>12</v>
      </c>
      <c r="C40" s="70">
        <v>324</v>
      </c>
      <c r="D40" s="70">
        <v>2500</v>
      </c>
      <c r="E40" s="70">
        <v>38</v>
      </c>
      <c r="F40" s="70">
        <v>2899.48</v>
      </c>
      <c r="G40" s="70"/>
    </row>
    <row r="41" spans="1:7">
      <c r="A41" s="70" t="s">
        <v>17</v>
      </c>
      <c r="B41" s="70">
        <v>12</v>
      </c>
      <c r="C41" s="70">
        <v>324</v>
      </c>
      <c r="D41" s="70">
        <v>400</v>
      </c>
      <c r="E41" s="70">
        <v>76</v>
      </c>
      <c r="F41" s="70">
        <v>927.83</v>
      </c>
      <c r="G41" s="70"/>
    </row>
    <row r="42" spans="1:7">
      <c r="A42" s="70" t="s">
        <v>18</v>
      </c>
      <c r="B42" s="70">
        <v>16</v>
      </c>
      <c r="C42" s="70">
        <v>2500</v>
      </c>
      <c r="D42" s="70">
        <v>73495</v>
      </c>
      <c r="E42" s="70">
        <v>1</v>
      </c>
      <c r="F42" s="70">
        <v>23077.43</v>
      </c>
      <c r="G42" s="70"/>
    </row>
    <row r="43" spans="1:7">
      <c r="A43" s="70" t="s">
        <v>19</v>
      </c>
      <c r="B43" s="70">
        <v>16</v>
      </c>
      <c r="C43" s="70">
        <v>482</v>
      </c>
      <c r="D43" s="70">
        <v>73495</v>
      </c>
      <c r="E43" s="70">
        <v>2</v>
      </c>
      <c r="F43" s="70">
        <v>8898.66</v>
      </c>
      <c r="G43" s="70"/>
    </row>
    <row r="44" spans="6:6">
      <c r="F44">
        <f>SUM(F37:F43)</f>
        <v>113303.68</v>
      </c>
    </row>
    <row r="46" spans="1:7">
      <c r="A46" s="70" t="s">
        <v>0</v>
      </c>
      <c r="B46" s="70" t="s">
        <v>1</v>
      </c>
      <c r="C46" s="70"/>
      <c r="D46" s="70"/>
      <c r="E46" s="70" t="s">
        <v>2</v>
      </c>
      <c r="F46" s="70" t="s">
        <v>3</v>
      </c>
      <c r="G46" s="70"/>
    </row>
    <row r="47" spans="1:7">
      <c r="A47" s="70"/>
      <c r="B47" s="70" t="s">
        <v>8</v>
      </c>
      <c r="C47" s="70" t="s">
        <v>9</v>
      </c>
      <c r="D47" s="70" t="s">
        <v>10</v>
      </c>
      <c r="E47" s="70"/>
      <c r="F47" s="70"/>
      <c r="G47" s="70"/>
    </row>
    <row r="48" spans="1:12">
      <c r="A48" s="70" t="s">
        <v>11</v>
      </c>
      <c r="B48" s="70">
        <v>16</v>
      </c>
      <c r="C48" s="70">
        <v>4500</v>
      </c>
      <c r="D48" s="70">
        <v>121387</v>
      </c>
      <c r="E48" s="70">
        <v>1</v>
      </c>
      <c r="F48" s="70">
        <v>68607.93</v>
      </c>
      <c r="G48" s="70"/>
      <c r="K48">
        <v>72014</v>
      </c>
      <c r="L48">
        <f t="shared" ref="L48:L54" si="1">(K48-F48)/F48</f>
        <v>0.049645427285155</v>
      </c>
    </row>
    <row r="49" spans="1:12">
      <c r="A49" s="70" t="s">
        <v>12</v>
      </c>
      <c r="B49" s="70" t="s">
        <v>13</v>
      </c>
      <c r="C49" s="70"/>
      <c r="D49" s="70">
        <v>121387</v>
      </c>
      <c r="E49" s="70">
        <v>2</v>
      </c>
      <c r="F49" s="70">
        <v>57325.74</v>
      </c>
      <c r="G49" s="70"/>
      <c r="K49">
        <v>55644</v>
      </c>
      <c r="L49">
        <f t="shared" si="1"/>
        <v>-0.0293365598071651</v>
      </c>
    </row>
    <row r="50" spans="1:12">
      <c r="A50" s="70" t="s">
        <v>15</v>
      </c>
      <c r="B50" s="70">
        <v>12</v>
      </c>
      <c r="C50" s="70">
        <v>308</v>
      </c>
      <c r="D50" s="70">
        <v>568</v>
      </c>
      <c r="E50" s="70">
        <v>124</v>
      </c>
      <c r="F50" s="70">
        <v>2043.49</v>
      </c>
      <c r="G50" s="70"/>
      <c r="K50">
        <v>8838</v>
      </c>
      <c r="L50">
        <f>(SUM(K50:K52)-F50-F51-F52)/(F50+F51+F52)</f>
        <v>0.0663558573559008</v>
      </c>
    </row>
    <row r="51" spans="1:7">
      <c r="A51" s="70" t="s">
        <v>16</v>
      </c>
      <c r="B51" s="70">
        <v>12</v>
      </c>
      <c r="C51" s="70">
        <v>324</v>
      </c>
      <c r="D51" s="70">
        <v>2500</v>
      </c>
      <c r="E51" s="70">
        <v>62</v>
      </c>
      <c r="F51" s="70">
        <v>4730.72</v>
      </c>
      <c r="G51" s="70"/>
    </row>
    <row r="52" spans="1:7">
      <c r="A52" s="70" t="s">
        <v>17</v>
      </c>
      <c r="B52" s="70">
        <v>12</v>
      </c>
      <c r="C52" s="70">
        <v>324</v>
      </c>
      <c r="D52" s="70">
        <v>400</v>
      </c>
      <c r="E52" s="70">
        <v>124</v>
      </c>
      <c r="F52" s="70">
        <v>1513.83</v>
      </c>
      <c r="G52" s="70"/>
    </row>
    <row r="53" spans="1:12">
      <c r="A53" s="70" t="s">
        <v>18</v>
      </c>
      <c r="B53" s="70">
        <v>16</v>
      </c>
      <c r="C53" s="70">
        <v>2500</v>
      </c>
      <c r="D53" s="70">
        <v>121387</v>
      </c>
      <c r="E53" s="70">
        <v>1</v>
      </c>
      <c r="F53" s="70">
        <v>38115.52</v>
      </c>
      <c r="G53" s="70"/>
      <c r="K53">
        <v>34583</v>
      </c>
      <c r="L53">
        <f t="shared" si="1"/>
        <v>-0.0926793075366674</v>
      </c>
    </row>
    <row r="54" spans="1:12">
      <c r="A54" s="70" t="s">
        <v>19</v>
      </c>
      <c r="B54" s="70">
        <v>16</v>
      </c>
      <c r="C54" s="70">
        <v>482</v>
      </c>
      <c r="D54" s="70">
        <v>121387</v>
      </c>
      <c r="E54" s="70">
        <v>2</v>
      </c>
      <c r="F54" s="70">
        <v>14697.34</v>
      </c>
      <c r="G54" s="70"/>
      <c r="K54">
        <v>14922.9756</v>
      </c>
      <c r="L54">
        <f t="shared" si="1"/>
        <v>0.015352138550241</v>
      </c>
    </row>
    <row r="55" spans="6:6">
      <c r="F55">
        <f>SUM(F48:F54)</f>
        <v>187034.57</v>
      </c>
    </row>
    <row r="57" spans="1:6">
      <c r="A57" s="70" t="s">
        <v>0</v>
      </c>
      <c r="B57" s="70" t="s">
        <v>1</v>
      </c>
      <c r="C57" s="70"/>
      <c r="D57" s="70"/>
      <c r="E57" s="70" t="s">
        <v>2</v>
      </c>
      <c r="F57" s="70" t="s">
        <v>3</v>
      </c>
    </row>
    <row r="58" spans="1:6">
      <c r="A58" s="70"/>
      <c r="B58" s="70" t="s">
        <v>8</v>
      </c>
      <c r="C58" s="70" t="s">
        <v>9</v>
      </c>
      <c r="D58" s="70" t="s">
        <v>10</v>
      </c>
      <c r="E58" s="70"/>
      <c r="F58" s="70"/>
    </row>
    <row r="59" spans="1:12">
      <c r="A59" s="70" t="s">
        <v>11</v>
      </c>
      <c r="B59" s="70">
        <v>16</v>
      </c>
      <c r="C59" s="70">
        <v>4500</v>
      </c>
      <c r="D59" s="70">
        <v>121208</v>
      </c>
      <c r="E59" s="70">
        <v>1</v>
      </c>
      <c r="F59" s="70">
        <v>68506.76</v>
      </c>
      <c r="K59">
        <v>71252</v>
      </c>
      <c r="L59">
        <f t="shared" ref="L59:L65" si="2">(K59-F59)/F59</f>
        <v>0.0400725417462453</v>
      </c>
    </row>
    <row r="60" spans="1:12">
      <c r="A60" s="70" t="s">
        <v>12</v>
      </c>
      <c r="B60" s="70" t="s">
        <v>13</v>
      </c>
      <c r="C60" s="70"/>
      <c r="D60" s="70">
        <v>121208</v>
      </c>
      <c r="E60" s="70">
        <v>2</v>
      </c>
      <c r="F60" s="70">
        <v>57241.21</v>
      </c>
      <c r="K60">
        <v>56204</v>
      </c>
      <c r="L60">
        <f t="shared" si="2"/>
        <v>-0.0181199873308059</v>
      </c>
    </row>
    <row r="61" spans="1:12">
      <c r="A61" s="70" t="s">
        <v>15</v>
      </c>
      <c r="B61" s="70">
        <v>12</v>
      </c>
      <c r="C61" s="70">
        <v>308</v>
      </c>
      <c r="D61" s="70">
        <v>568</v>
      </c>
      <c r="E61" s="70">
        <v>124</v>
      </c>
      <c r="F61" s="70">
        <v>2043.49</v>
      </c>
      <c r="K61">
        <v>8839</v>
      </c>
      <c r="L61">
        <f>(SUM(K61:K63)-F61-F62-F63)/(F61+F62+F63)</f>
        <v>0.0664765131442416</v>
      </c>
    </row>
    <row r="62" spans="1:6">
      <c r="A62" s="70" t="s">
        <v>16</v>
      </c>
      <c r="B62" s="70">
        <v>12</v>
      </c>
      <c r="C62" s="70">
        <v>324</v>
      </c>
      <c r="D62" s="70">
        <v>2500</v>
      </c>
      <c r="E62" s="70">
        <v>62</v>
      </c>
      <c r="F62" s="70">
        <v>4730.72</v>
      </c>
    </row>
    <row r="63" spans="1:6">
      <c r="A63" s="70" t="s">
        <v>17</v>
      </c>
      <c r="B63" s="70">
        <v>12</v>
      </c>
      <c r="C63" s="70">
        <v>324</v>
      </c>
      <c r="D63" s="70">
        <v>400</v>
      </c>
      <c r="E63" s="70">
        <v>124</v>
      </c>
      <c r="F63" s="70">
        <v>1513.83</v>
      </c>
    </row>
    <row r="64" spans="1:12">
      <c r="A64" s="70" t="s">
        <v>18</v>
      </c>
      <c r="B64" s="70">
        <v>16</v>
      </c>
      <c r="C64" s="70">
        <v>2500</v>
      </c>
      <c r="D64" s="70">
        <v>121208</v>
      </c>
      <c r="E64" s="70">
        <v>1</v>
      </c>
      <c r="F64" s="70">
        <v>38059.31</v>
      </c>
      <c r="K64">
        <v>39220</v>
      </c>
      <c r="L64">
        <f t="shared" si="2"/>
        <v>0.0304968744835364</v>
      </c>
    </row>
    <row r="65" spans="1:12">
      <c r="A65" s="70" t="s">
        <v>19</v>
      </c>
      <c r="B65" s="70">
        <v>16</v>
      </c>
      <c r="C65" s="70">
        <v>482</v>
      </c>
      <c r="D65" s="70">
        <v>121208</v>
      </c>
      <c r="E65" s="70">
        <v>2</v>
      </c>
      <c r="F65" s="70">
        <v>14675.67</v>
      </c>
      <c r="K65">
        <v>14874</v>
      </c>
      <c r="L65">
        <f t="shared" si="2"/>
        <v>0.0135142041215154</v>
      </c>
    </row>
    <row r="66" spans="6:6">
      <c r="F66">
        <f>SUM(F59:F65)</f>
        <v>186770.99</v>
      </c>
    </row>
  </sheetData>
  <sheetProtection formatCells="0" insertHyperlinks="0" autoFilter="0"/>
  <mergeCells count="22">
    <mergeCell ref="A1:A2"/>
    <mergeCell ref="A13:A14"/>
    <mergeCell ref="A24:A25"/>
    <mergeCell ref="A35:A36"/>
    <mergeCell ref="A46:A47"/>
    <mergeCell ref="A57:A58"/>
    <mergeCell ref="E1:E2"/>
    <mergeCell ref="E13:E14"/>
    <mergeCell ref="E24:E25"/>
    <mergeCell ref="E35:E36"/>
    <mergeCell ref="E46:E47"/>
    <mergeCell ref="E57:E58"/>
    <mergeCell ref="F1:F2"/>
    <mergeCell ref="F13:F14"/>
    <mergeCell ref="F24:F25"/>
    <mergeCell ref="F35:F36"/>
    <mergeCell ref="F46:F47"/>
    <mergeCell ref="F57:F58"/>
    <mergeCell ref="G24:G25"/>
    <mergeCell ref="G26:G32"/>
    <mergeCell ref="G35:G36"/>
    <mergeCell ref="G46:G47"/>
  </mergeCells>
  <pageMargins left="0.75" right="0.75" top="1" bottom="1" header="0.511805555555556" footer="0.511805555555556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pageSetUpPr fitToPage="1"/>
  </sheetPr>
  <dimension ref="A1:L62"/>
  <sheetViews>
    <sheetView topLeftCell="A36" workbookViewId="0">
      <selection activeCell="L24" sqref="L24"/>
    </sheetView>
  </sheetViews>
  <sheetFormatPr defaultColWidth="9" defaultRowHeight="13.5"/>
  <cols>
    <col min="1" max="2" width="8.625" customWidth="1"/>
    <col min="3" max="3" width="10.375" customWidth="1"/>
    <col min="4" max="6" width="11" customWidth="1"/>
    <col min="7" max="8" width="8.625" customWidth="1"/>
    <col min="9" max="9" width="12.875" style="147" customWidth="1"/>
    <col min="10" max="10" width="11.625" customWidth="1"/>
    <col min="12" max="12" width="12.625"/>
  </cols>
  <sheetData>
    <row r="1" ht="28.5" customHeight="1" spans="1:10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</row>
    <row r="2" ht="28.5" customHeight="1" spans="1:10">
      <c r="A2" s="15" t="s">
        <v>20</v>
      </c>
      <c r="B2" s="15"/>
      <c r="C2" s="15"/>
      <c r="D2" s="15"/>
      <c r="E2" s="15"/>
      <c r="F2" s="15"/>
      <c r="G2" s="15"/>
      <c r="H2" s="15"/>
      <c r="I2" s="15"/>
      <c r="J2" s="15"/>
    </row>
    <row r="3" ht="22.5" customHeight="1" spans="1:10">
      <c r="A3" s="16" t="s">
        <v>21</v>
      </c>
      <c r="B3" s="17"/>
      <c r="C3" s="17"/>
      <c r="D3" s="17"/>
      <c r="E3" s="17"/>
      <c r="F3" s="17"/>
      <c r="G3" s="17"/>
      <c r="H3" s="17"/>
      <c r="I3" s="44"/>
      <c r="J3" s="26"/>
    </row>
    <row r="4" ht="22.5" customHeight="1" spans="1:10">
      <c r="A4" s="18" t="s">
        <v>44</v>
      </c>
      <c r="B4" s="19"/>
      <c r="C4" s="19"/>
      <c r="D4" s="17"/>
      <c r="E4" s="19"/>
      <c r="F4" s="19"/>
      <c r="G4" s="17"/>
      <c r="H4" s="17"/>
      <c r="I4" s="45"/>
      <c r="J4" s="26"/>
    </row>
    <row r="5" ht="22.5" customHeight="1" spans="1:10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4" t="s">
        <v>29</v>
      </c>
      <c r="J5" s="11" t="s">
        <v>30</v>
      </c>
    </row>
    <row r="6" ht="22.5" customHeight="1" spans="1:12">
      <c r="A6" s="5">
        <v>1</v>
      </c>
      <c r="B6" s="5" t="s">
        <v>31</v>
      </c>
      <c r="C6" s="6" t="s">
        <v>32</v>
      </c>
      <c r="D6" s="6">
        <v>12</v>
      </c>
      <c r="E6" s="49">
        <v>1800</v>
      </c>
      <c r="F6" s="6">
        <v>9640</v>
      </c>
      <c r="G6" s="8" t="s">
        <v>33</v>
      </c>
      <c r="H6" s="5">
        <v>1</v>
      </c>
      <c r="I6" s="9">
        <f t="shared" ref="I6:I37" si="0">E6*F6*D6*H6*7.85/1000000</f>
        <v>1634.5584</v>
      </c>
      <c r="J6" s="13" t="s">
        <v>17</v>
      </c>
      <c r="K6" s="33" t="s">
        <v>75</v>
      </c>
      <c r="L6" s="33">
        <v>1</v>
      </c>
    </row>
    <row r="7" ht="22.5" customHeight="1" spans="1:12">
      <c r="A7" s="5">
        <v>2</v>
      </c>
      <c r="B7" s="5" t="s">
        <v>31</v>
      </c>
      <c r="C7" s="6" t="s">
        <v>32</v>
      </c>
      <c r="D7" s="6">
        <v>12</v>
      </c>
      <c r="E7" s="49">
        <v>2000</v>
      </c>
      <c r="F7" s="6">
        <v>12520</v>
      </c>
      <c r="G7" s="8" t="s">
        <v>33</v>
      </c>
      <c r="H7" s="5">
        <v>2</v>
      </c>
      <c r="I7" s="9">
        <f t="shared" si="0"/>
        <v>4717.536</v>
      </c>
      <c r="J7" s="13" t="s">
        <v>16</v>
      </c>
      <c r="K7" s="33" t="s">
        <v>76</v>
      </c>
      <c r="L7" s="33">
        <v>2</v>
      </c>
    </row>
    <row r="8" ht="22.5" customHeight="1" spans="1:12">
      <c r="A8" s="5">
        <v>3</v>
      </c>
      <c r="B8" s="5" t="s">
        <v>31</v>
      </c>
      <c r="C8" s="6" t="s">
        <v>32</v>
      </c>
      <c r="D8" s="6">
        <v>12</v>
      </c>
      <c r="E8" s="49">
        <v>2000</v>
      </c>
      <c r="F8" s="6">
        <v>6870</v>
      </c>
      <c r="G8" s="8" t="s">
        <v>33</v>
      </c>
      <c r="H8" s="5">
        <v>2</v>
      </c>
      <c r="I8" s="9">
        <f t="shared" si="0"/>
        <v>2588.616</v>
      </c>
      <c r="J8" s="13" t="s">
        <v>15</v>
      </c>
      <c r="K8" s="33" t="s">
        <v>77</v>
      </c>
      <c r="L8" s="33">
        <v>2</v>
      </c>
    </row>
    <row r="9" ht="22.5" customHeight="1" spans="1:11">
      <c r="A9" s="5">
        <v>4</v>
      </c>
      <c r="B9" s="5" t="s">
        <v>31</v>
      </c>
      <c r="C9" s="6" t="s">
        <v>32</v>
      </c>
      <c r="D9" s="6">
        <v>16</v>
      </c>
      <c r="E9" s="49">
        <v>1800</v>
      </c>
      <c r="F9" s="6">
        <v>7540</v>
      </c>
      <c r="G9" s="8" t="s">
        <v>33</v>
      </c>
      <c r="H9" s="5">
        <v>1</v>
      </c>
      <c r="I9" s="9">
        <f t="shared" si="0"/>
        <v>1704.6432</v>
      </c>
      <c r="J9" s="13" t="s">
        <v>35</v>
      </c>
      <c r="K9" t="s">
        <v>78</v>
      </c>
    </row>
    <row r="10" ht="22.5" customHeight="1" spans="1:11">
      <c r="A10" s="5">
        <v>5</v>
      </c>
      <c r="B10" s="5" t="s">
        <v>31</v>
      </c>
      <c r="C10" s="6" t="s">
        <v>32</v>
      </c>
      <c r="D10" s="6">
        <v>16</v>
      </c>
      <c r="E10" s="49">
        <v>1800</v>
      </c>
      <c r="F10" s="6">
        <v>8080</v>
      </c>
      <c r="G10" s="8" t="s">
        <v>33</v>
      </c>
      <c r="H10" s="5">
        <v>1</v>
      </c>
      <c r="I10" s="9">
        <f t="shared" si="0"/>
        <v>1826.7264</v>
      </c>
      <c r="J10" s="13" t="s">
        <v>34</v>
      </c>
      <c r="K10" t="s">
        <v>78</v>
      </c>
    </row>
    <row r="11" ht="22.5" customHeight="1" spans="1:11">
      <c r="A11" s="5">
        <v>6</v>
      </c>
      <c r="B11" s="5" t="s">
        <v>31</v>
      </c>
      <c r="C11" s="6" t="s">
        <v>32</v>
      </c>
      <c r="D11" s="6">
        <v>16</v>
      </c>
      <c r="E11" s="49">
        <v>1800</v>
      </c>
      <c r="F11" s="6">
        <v>8140</v>
      </c>
      <c r="G11" s="8" t="s">
        <v>33</v>
      </c>
      <c r="H11" s="5">
        <v>2</v>
      </c>
      <c r="I11" s="9">
        <f t="shared" si="0"/>
        <v>3680.5824</v>
      </c>
      <c r="J11" s="13" t="s">
        <v>34</v>
      </c>
      <c r="K11" t="s">
        <v>78</v>
      </c>
    </row>
    <row r="12" ht="22.5" customHeight="1" spans="1:11">
      <c r="A12" s="5">
        <v>7</v>
      </c>
      <c r="B12" s="5" t="s">
        <v>31</v>
      </c>
      <c r="C12" s="6" t="s">
        <v>32</v>
      </c>
      <c r="D12" s="6">
        <v>16</v>
      </c>
      <c r="E12" s="49">
        <v>1800</v>
      </c>
      <c r="F12" s="6">
        <v>8150</v>
      </c>
      <c r="G12" s="8" t="s">
        <v>33</v>
      </c>
      <c r="H12" s="5">
        <v>1</v>
      </c>
      <c r="I12" s="9">
        <f t="shared" si="0"/>
        <v>1842.552</v>
      </c>
      <c r="J12" s="13" t="s">
        <v>34</v>
      </c>
      <c r="K12" t="s">
        <v>78</v>
      </c>
    </row>
    <row r="13" ht="22.5" customHeight="1" spans="1:11">
      <c r="A13" s="5">
        <v>8</v>
      </c>
      <c r="B13" s="5" t="s">
        <v>31</v>
      </c>
      <c r="C13" s="6" t="s">
        <v>32</v>
      </c>
      <c r="D13" s="6">
        <v>16</v>
      </c>
      <c r="E13" s="49">
        <v>1800</v>
      </c>
      <c r="F13" s="6">
        <v>8150</v>
      </c>
      <c r="G13" s="8" t="s">
        <v>33</v>
      </c>
      <c r="H13" s="5">
        <v>1</v>
      </c>
      <c r="I13" s="9">
        <f t="shared" si="0"/>
        <v>1842.552</v>
      </c>
      <c r="J13" s="13" t="s">
        <v>34</v>
      </c>
      <c r="K13" t="s">
        <v>78</v>
      </c>
    </row>
    <row r="14" ht="22.5" customHeight="1" spans="1:11">
      <c r="A14" s="5">
        <v>9</v>
      </c>
      <c r="B14" s="5" t="s">
        <v>31</v>
      </c>
      <c r="C14" s="6" t="s">
        <v>32</v>
      </c>
      <c r="D14" s="6">
        <v>16</v>
      </c>
      <c r="E14" s="49">
        <v>1800</v>
      </c>
      <c r="F14" s="6">
        <v>8160</v>
      </c>
      <c r="G14" s="8" t="s">
        <v>33</v>
      </c>
      <c r="H14" s="5">
        <v>1</v>
      </c>
      <c r="I14" s="9">
        <f t="shared" si="0"/>
        <v>1844.8128</v>
      </c>
      <c r="J14" s="13" t="s">
        <v>34</v>
      </c>
      <c r="K14" t="s">
        <v>78</v>
      </c>
    </row>
    <row r="15" ht="22.5" customHeight="1" spans="1:11">
      <c r="A15" s="5">
        <v>10</v>
      </c>
      <c r="B15" s="5" t="s">
        <v>31</v>
      </c>
      <c r="C15" s="6" t="s">
        <v>32</v>
      </c>
      <c r="D15" s="6">
        <v>16</v>
      </c>
      <c r="E15" s="49">
        <v>1800</v>
      </c>
      <c r="F15" s="6">
        <v>9930</v>
      </c>
      <c r="G15" s="8" t="s">
        <v>33</v>
      </c>
      <c r="H15" s="5">
        <v>1</v>
      </c>
      <c r="I15" s="9">
        <f t="shared" si="0"/>
        <v>2244.9744</v>
      </c>
      <c r="J15" s="13" t="s">
        <v>35</v>
      </c>
      <c r="K15" t="s">
        <v>78</v>
      </c>
    </row>
    <row r="16" ht="22.5" customHeight="1" spans="1:11">
      <c r="A16" s="5">
        <v>11</v>
      </c>
      <c r="B16" s="5" t="s">
        <v>31</v>
      </c>
      <c r="C16" s="6" t="s">
        <v>32</v>
      </c>
      <c r="D16" s="6">
        <v>16</v>
      </c>
      <c r="E16" s="49">
        <v>1800</v>
      </c>
      <c r="F16" s="60">
        <f>(455838+2000)/5/9</f>
        <v>10174.1777777778</v>
      </c>
      <c r="G16" s="8" t="s">
        <v>33</v>
      </c>
      <c r="H16" s="5">
        <v>9</v>
      </c>
      <c r="I16" s="9">
        <f t="shared" si="0"/>
        <v>20701.603008</v>
      </c>
      <c r="J16" s="13" t="s">
        <v>14</v>
      </c>
      <c r="K16" t="s">
        <v>78</v>
      </c>
    </row>
    <row r="17" ht="22.5" customHeight="1" spans="1:11">
      <c r="A17" s="5">
        <v>12</v>
      </c>
      <c r="B17" s="5" t="s">
        <v>31</v>
      </c>
      <c r="C17" s="6" t="s">
        <v>32</v>
      </c>
      <c r="D17" s="6">
        <v>16</v>
      </c>
      <c r="E17" s="49">
        <v>1800</v>
      </c>
      <c r="F17" s="6">
        <v>10120</v>
      </c>
      <c r="G17" s="8" t="s">
        <v>33</v>
      </c>
      <c r="H17" s="5">
        <v>1</v>
      </c>
      <c r="I17" s="9">
        <f t="shared" si="0"/>
        <v>2287.9296</v>
      </c>
      <c r="J17" s="13" t="s">
        <v>34</v>
      </c>
      <c r="K17" t="s">
        <v>78</v>
      </c>
    </row>
    <row r="18" ht="22.5" customHeight="1" spans="1:11">
      <c r="A18" s="5">
        <v>13</v>
      </c>
      <c r="B18" s="5" t="s">
        <v>31</v>
      </c>
      <c r="C18" s="6" t="s">
        <v>32</v>
      </c>
      <c r="D18" s="6">
        <v>16</v>
      </c>
      <c r="E18" s="49">
        <v>1800</v>
      </c>
      <c r="F18" s="6">
        <v>7470</v>
      </c>
      <c r="G18" s="8" t="s">
        <v>33</v>
      </c>
      <c r="H18" s="5">
        <v>1</v>
      </c>
      <c r="I18" s="9">
        <f t="shared" si="0"/>
        <v>1688.8176</v>
      </c>
      <c r="J18" s="13" t="s">
        <v>36</v>
      </c>
      <c r="K18" t="s">
        <v>78</v>
      </c>
    </row>
    <row r="19" ht="22.5" customHeight="1" spans="1:11">
      <c r="A19" s="5">
        <v>14</v>
      </c>
      <c r="B19" s="5" t="s">
        <v>31</v>
      </c>
      <c r="C19" s="6" t="s">
        <v>32</v>
      </c>
      <c r="D19" s="6">
        <v>16</v>
      </c>
      <c r="E19" s="49">
        <v>1800</v>
      </c>
      <c r="F19" s="6">
        <v>7540</v>
      </c>
      <c r="G19" s="8" t="s">
        <v>33</v>
      </c>
      <c r="H19" s="5">
        <v>1</v>
      </c>
      <c r="I19" s="9">
        <f t="shared" si="0"/>
        <v>1704.6432</v>
      </c>
      <c r="J19" s="13" t="s">
        <v>36</v>
      </c>
      <c r="K19" t="s">
        <v>78</v>
      </c>
    </row>
    <row r="20" ht="22.5" customHeight="1" spans="1:11">
      <c r="A20" s="5">
        <v>15</v>
      </c>
      <c r="B20" s="5" t="s">
        <v>31</v>
      </c>
      <c r="C20" s="6" t="s">
        <v>32</v>
      </c>
      <c r="D20" s="6">
        <v>16</v>
      </c>
      <c r="E20" s="49">
        <v>1800</v>
      </c>
      <c r="F20" s="6">
        <v>7890</v>
      </c>
      <c r="G20" s="8" t="s">
        <v>33</v>
      </c>
      <c r="H20" s="5">
        <v>1</v>
      </c>
      <c r="I20" s="9">
        <f t="shared" si="0"/>
        <v>1783.7712</v>
      </c>
      <c r="J20" s="13" t="s">
        <v>36</v>
      </c>
      <c r="K20" t="s">
        <v>78</v>
      </c>
    </row>
    <row r="21" ht="22.5" customHeight="1" spans="1:11">
      <c r="A21" s="5">
        <v>16</v>
      </c>
      <c r="B21" s="5" t="s">
        <v>31</v>
      </c>
      <c r="C21" s="6" t="s">
        <v>32</v>
      </c>
      <c r="D21" s="6">
        <v>16</v>
      </c>
      <c r="E21" s="49">
        <v>1800</v>
      </c>
      <c r="F21" s="6">
        <v>7470</v>
      </c>
      <c r="G21" s="8" t="s">
        <v>33</v>
      </c>
      <c r="H21" s="5">
        <v>1</v>
      </c>
      <c r="I21" s="9">
        <f t="shared" si="0"/>
        <v>1688.8176</v>
      </c>
      <c r="J21" s="13" t="s">
        <v>36</v>
      </c>
      <c r="K21" t="s">
        <v>78</v>
      </c>
    </row>
    <row r="22" ht="22.5" customHeight="1" spans="1:11">
      <c r="A22" s="5">
        <v>17</v>
      </c>
      <c r="B22" s="5" t="s">
        <v>31</v>
      </c>
      <c r="C22" s="6" t="s">
        <v>32</v>
      </c>
      <c r="D22" s="6">
        <v>16</v>
      </c>
      <c r="E22" s="49">
        <v>1800</v>
      </c>
      <c r="F22" s="6">
        <v>7490</v>
      </c>
      <c r="G22" s="8" t="s">
        <v>33</v>
      </c>
      <c r="H22" s="5">
        <v>1</v>
      </c>
      <c r="I22" s="9">
        <f t="shared" si="0"/>
        <v>1693.3392</v>
      </c>
      <c r="J22" s="13" t="s">
        <v>36</v>
      </c>
      <c r="K22" t="s">
        <v>78</v>
      </c>
    </row>
    <row r="23" ht="22.5" customHeight="1" spans="1:11">
      <c r="A23" s="5">
        <v>18</v>
      </c>
      <c r="B23" s="5" t="s">
        <v>31</v>
      </c>
      <c r="C23" s="6" t="s">
        <v>32</v>
      </c>
      <c r="D23" s="6">
        <v>16</v>
      </c>
      <c r="E23" s="49">
        <v>1800</v>
      </c>
      <c r="F23" s="6">
        <v>7820</v>
      </c>
      <c r="G23" s="8" t="s">
        <v>33</v>
      </c>
      <c r="H23" s="5">
        <v>2</v>
      </c>
      <c r="I23" s="9">
        <f t="shared" si="0"/>
        <v>3535.8912</v>
      </c>
      <c r="J23" s="13" t="s">
        <v>36</v>
      </c>
      <c r="K23" t="s">
        <v>78</v>
      </c>
    </row>
    <row r="24" ht="22.5" customHeight="1" spans="1:11">
      <c r="A24" s="5">
        <v>19</v>
      </c>
      <c r="B24" s="5" t="s">
        <v>31</v>
      </c>
      <c r="C24" s="6" t="s">
        <v>32</v>
      </c>
      <c r="D24" s="6">
        <v>16</v>
      </c>
      <c r="E24" s="49">
        <v>1800</v>
      </c>
      <c r="F24" s="6">
        <v>7870</v>
      </c>
      <c r="G24" s="8" t="s">
        <v>33</v>
      </c>
      <c r="H24" s="5">
        <v>2</v>
      </c>
      <c r="I24" s="9">
        <f t="shared" si="0"/>
        <v>3558.4992</v>
      </c>
      <c r="J24" s="13" t="s">
        <v>36</v>
      </c>
      <c r="K24" t="s">
        <v>78</v>
      </c>
    </row>
    <row r="25" ht="22.5" customHeight="1" spans="1:11">
      <c r="A25" s="5">
        <v>20</v>
      </c>
      <c r="B25" s="5" t="s">
        <v>31</v>
      </c>
      <c r="C25" s="6" t="s">
        <v>32</v>
      </c>
      <c r="D25" s="6">
        <v>16</v>
      </c>
      <c r="E25" s="49">
        <v>1800</v>
      </c>
      <c r="F25" s="6">
        <v>8050</v>
      </c>
      <c r="G25" s="8" t="s">
        <v>33</v>
      </c>
      <c r="H25" s="5">
        <v>2</v>
      </c>
      <c r="I25" s="9">
        <f t="shared" si="0"/>
        <v>3639.888</v>
      </c>
      <c r="J25" s="13" t="s">
        <v>34</v>
      </c>
      <c r="K25" t="s">
        <v>78</v>
      </c>
    </row>
    <row r="26" ht="22.5" customHeight="1" spans="1:11">
      <c r="A26" s="5">
        <v>21</v>
      </c>
      <c r="B26" s="5" t="s">
        <v>31</v>
      </c>
      <c r="C26" s="6" t="s">
        <v>32</v>
      </c>
      <c r="D26" s="6">
        <v>16</v>
      </c>
      <c r="E26" s="49">
        <v>1800</v>
      </c>
      <c r="F26" s="6">
        <v>8070</v>
      </c>
      <c r="G26" s="8" t="s">
        <v>33</v>
      </c>
      <c r="H26" s="5">
        <v>9</v>
      </c>
      <c r="I26" s="9">
        <f t="shared" si="0"/>
        <v>16420.1904</v>
      </c>
      <c r="J26" s="13" t="s">
        <v>34</v>
      </c>
      <c r="K26" t="s">
        <v>78</v>
      </c>
    </row>
    <row r="27" ht="22.5" customHeight="1" spans="1:11">
      <c r="A27" s="5">
        <v>22</v>
      </c>
      <c r="B27" s="5" t="s">
        <v>31</v>
      </c>
      <c r="C27" s="6" t="s">
        <v>32</v>
      </c>
      <c r="D27" s="6">
        <v>16</v>
      </c>
      <c r="E27" s="49">
        <v>1800</v>
      </c>
      <c r="F27" s="6">
        <v>8080</v>
      </c>
      <c r="G27" s="8" t="s">
        <v>33</v>
      </c>
      <c r="H27" s="5">
        <v>1</v>
      </c>
      <c r="I27" s="9">
        <f t="shared" si="0"/>
        <v>1826.7264</v>
      </c>
      <c r="J27" s="13" t="s">
        <v>34</v>
      </c>
      <c r="K27" t="s">
        <v>78</v>
      </c>
    </row>
    <row r="28" ht="22.5" customHeight="1" spans="1:11">
      <c r="A28" s="5">
        <v>23</v>
      </c>
      <c r="B28" s="5" t="s">
        <v>31</v>
      </c>
      <c r="C28" s="6" t="s">
        <v>32</v>
      </c>
      <c r="D28" s="6">
        <v>16</v>
      </c>
      <c r="E28" s="49">
        <v>1800</v>
      </c>
      <c r="F28" s="6">
        <v>8090</v>
      </c>
      <c r="G28" s="8" t="s">
        <v>33</v>
      </c>
      <c r="H28" s="5">
        <v>1</v>
      </c>
      <c r="I28" s="9">
        <f t="shared" si="0"/>
        <v>1828.9872</v>
      </c>
      <c r="J28" s="13" t="s">
        <v>34</v>
      </c>
      <c r="K28" t="s">
        <v>78</v>
      </c>
    </row>
    <row r="29" ht="22.5" customHeight="1" spans="1:11">
      <c r="A29" s="5">
        <v>24</v>
      </c>
      <c r="B29" s="5" t="s">
        <v>31</v>
      </c>
      <c r="C29" s="6" t="s">
        <v>32</v>
      </c>
      <c r="D29" s="6">
        <v>16</v>
      </c>
      <c r="E29" s="49">
        <v>1800</v>
      </c>
      <c r="F29" s="6">
        <v>8190</v>
      </c>
      <c r="G29" s="8" t="s">
        <v>33</v>
      </c>
      <c r="H29" s="5">
        <v>1</v>
      </c>
      <c r="I29" s="9">
        <f t="shared" si="0"/>
        <v>1851.5952</v>
      </c>
      <c r="J29" s="13" t="s">
        <v>36</v>
      </c>
      <c r="K29" t="s">
        <v>78</v>
      </c>
    </row>
    <row r="30" ht="22.5" customHeight="1" spans="1:11">
      <c r="A30" s="5">
        <v>25</v>
      </c>
      <c r="B30" s="5" t="s">
        <v>31</v>
      </c>
      <c r="C30" s="6" t="s">
        <v>32</v>
      </c>
      <c r="D30" s="6">
        <v>16</v>
      </c>
      <c r="E30" s="49">
        <v>1800</v>
      </c>
      <c r="F30" s="6">
        <v>8220</v>
      </c>
      <c r="G30" s="8" t="s">
        <v>33</v>
      </c>
      <c r="H30" s="5">
        <v>2</v>
      </c>
      <c r="I30" s="9">
        <f t="shared" si="0"/>
        <v>3716.7552</v>
      </c>
      <c r="J30" s="13" t="s">
        <v>36</v>
      </c>
      <c r="K30" t="s">
        <v>78</v>
      </c>
    </row>
    <row r="31" ht="22.5" customHeight="1" spans="1:11">
      <c r="A31" s="5">
        <v>26</v>
      </c>
      <c r="B31" s="5" t="s">
        <v>31</v>
      </c>
      <c r="C31" s="6" t="s">
        <v>32</v>
      </c>
      <c r="D31" s="6">
        <v>16</v>
      </c>
      <c r="E31" s="49">
        <v>1800</v>
      </c>
      <c r="F31" s="6">
        <v>10050</v>
      </c>
      <c r="G31" s="8" t="s">
        <v>33</v>
      </c>
      <c r="H31" s="5">
        <v>1</v>
      </c>
      <c r="I31" s="9">
        <f t="shared" si="0"/>
        <v>2272.104</v>
      </c>
      <c r="J31" s="13" t="s">
        <v>34</v>
      </c>
      <c r="K31" t="s">
        <v>78</v>
      </c>
    </row>
    <row r="32" ht="22.5" customHeight="1" spans="1:11">
      <c r="A32" s="5">
        <v>27</v>
      </c>
      <c r="B32" s="5" t="s">
        <v>31</v>
      </c>
      <c r="C32" s="6" t="s">
        <v>37</v>
      </c>
      <c r="D32" s="6">
        <v>16</v>
      </c>
      <c r="E32" s="49">
        <v>1800</v>
      </c>
      <c r="F32" s="6">
        <v>11230</v>
      </c>
      <c r="G32" s="8" t="s">
        <v>33</v>
      </c>
      <c r="H32" s="5">
        <v>1</v>
      </c>
      <c r="I32" s="9">
        <f t="shared" si="0"/>
        <v>2538.8784</v>
      </c>
      <c r="J32" s="13" t="s">
        <v>38</v>
      </c>
      <c r="K32" t="s">
        <v>78</v>
      </c>
    </row>
    <row r="33" ht="22.5" customHeight="1" spans="1:11">
      <c r="A33" s="5">
        <v>28</v>
      </c>
      <c r="B33" s="5" t="s">
        <v>31</v>
      </c>
      <c r="C33" s="6" t="s">
        <v>32</v>
      </c>
      <c r="D33" s="6">
        <v>16</v>
      </c>
      <c r="E33" s="49">
        <v>2000</v>
      </c>
      <c r="F33" s="6">
        <v>7720</v>
      </c>
      <c r="G33" s="8" t="s">
        <v>33</v>
      </c>
      <c r="H33" s="5">
        <v>1</v>
      </c>
      <c r="I33" s="9">
        <f t="shared" si="0"/>
        <v>1939.264</v>
      </c>
      <c r="J33" s="13" t="s">
        <v>36</v>
      </c>
      <c r="K33" t="s">
        <v>78</v>
      </c>
    </row>
    <row r="34" ht="22.5" customHeight="1" spans="1:11">
      <c r="A34" s="5">
        <v>29</v>
      </c>
      <c r="B34" s="5" t="s">
        <v>31</v>
      </c>
      <c r="C34" s="6" t="s">
        <v>32</v>
      </c>
      <c r="D34" s="6">
        <v>16</v>
      </c>
      <c r="E34" s="49">
        <v>2000</v>
      </c>
      <c r="F34" s="6">
        <v>7800</v>
      </c>
      <c r="G34" s="8" t="s">
        <v>33</v>
      </c>
      <c r="H34" s="5">
        <v>1</v>
      </c>
      <c r="I34" s="9">
        <f t="shared" si="0"/>
        <v>1959.36</v>
      </c>
      <c r="J34" s="13" t="s">
        <v>36</v>
      </c>
      <c r="K34" t="s">
        <v>78</v>
      </c>
    </row>
    <row r="35" ht="22.5" customHeight="1" spans="1:11">
      <c r="A35" s="5">
        <v>30</v>
      </c>
      <c r="B35" s="5" t="s">
        <v>31</v>
      </c>
      <c r="C35" s="6" t="s">
        <v>32</v>
      </c>
      <c r="D35" s="6">
        <v>16</v>
      </c>
      <c r="E35" s="49">
        <v>2000</v>
      </c>
      <c r="F35" s="6">
        <v>7900</v>
      </c>
      <c r="G35" s="8" t="s">
        <v>33</v>
      </c>
      <c r="H35" s="5">
        <v>1</v>
      </c>
      <c r="I35" s="9">
        <f t="shared" si="0"/>
        <v>1984.48</v>
      </c>
      <c r="J35" s="13" t="s">
        <v>36</v>
      </c>
      <c r="K35" t="s">
        <v>78</v>
      </c>
    </row>
    <row r="36" ht="22.5" customHeight="1" spans="1:11">
      <c r="A36" s="5">
        <v>31</v>
      </c>
      <c r="B36" s="5" t="s">
        <v>31</v>
      </c>
      <c r="C36" s="6" t="s">
        <v>32</v>
      </c>
      <c r="D36" s="6">
        <v>16</v>
      </c>
      <c r="E36" s="49">
        <v>2000</v>
      </c>
      <c r="F36" s="6">
        <v>7960</v>
      </c>
      <c r="G36" s="8" t="s">
        <v>33</v>
      </c>
      <c r="H36" s="5">
        <v>1</v>
      </c>
      <c r="I36" s="9">
        <f t="shared" si="0"/>
        <v>1999.552</v>
      </c>
      <c r="J36" s="13" t="s">
        <v>36</v>
      </c>
      <c r="K36" t="s">
        <v>78</v>
      </c>
    </row>
    <row r="37" ht="22.5" customHeight="1" spans="1:11">
      <c r="A37" s="5">
        <v>32</v>
      </c>
      <c r="B37" s="5" t="s">
        <v>31</v>
      </c>
      <c r="C37" s="6" t="s">
        <v>32</v>
      </c>
      <c r="D37" s="6">
        <v>16</v>
      </c>
      <c r="E37" s="49">
        <v>2000</v>
      </c>
      <c r="F37" s="6">
        <v>8120</v>
      </c>
      <c r="G37" s="8" t="s">
        <v>33</v>
      </c>
      <c r="H37" s="5">
        <v>1</v>
      </c>
      <c r="I37" s="9">
        <f t="shared" si="0"/>
        <v>2039.744</v>
      </c>
      <c r="J37" s="13" t="s">
        <v>36</v>
      </c>
      <c r="K37" t="s">
        <v>78</v>
      </c>
    </row>
    <row r="38" ht="22.5" customHeight="1" spans="1:11">
      <c r="A38" s="5">
        <v>33</v>
      </c>
      <c r="B38" s="5" t="s">
        <v>31</v>
      </c>
      <c r="C38" s="6" t="s">
        <v>32</v>
      </c>
      <c r="D38" s="6">
        <v>16</v>
      </c>
      <c r="E38" s="49">
        <v>2000</v>
      </c>
      <c r="F38" s="6">
        <v>8300</v>
      </c>
      <c r="G38" s="8" t="s">
        <v>33</v>
      </c>
      <c r="H38" s="5">
        <v>1</v>
      </c>
      <c r="I38" s="9">
        <f t="shared" ref="I38:I58" si="1">E38*F38*D38*H38*7.85/1000000</f>
        <v>2084.96</v>
      </c>
      <c r="J38" s="13" t="s">
        <v>36</v>
      </c>
      <c r="K38" t="s">
        <v>78</v>
      </c>
    </row>
    <row r="39" ht="22.5" customHeight="1" spans="1:11">
      <c r="A39" s="5">
        <v>34</v>
      </c>
      <c r="B39" s="5" t="s">
        <v>31</v>
      </c>
      <c r="C39" s="6" t="s">
        <v>32</v>
      </c>
      <c r="D39" s="6">
        <v>16</v>
      </c>
      <c r="E39" s="49">
        <v>2000</v>
      </c>
      <c r="F39" s="6">
        <v>9990</v>
      </c>
      <c r="G39" s="8" t="s">
        <v>33</v>
      </c>
      <c r="H39" s="5">
        <v>1</v>
      </c>
      <c r="I39" s="9">
        <f t="shared" si="1"/>
        <v>2509.488</v>
      </c>
      <c r="J39" s="13" t="s">
        <v>36</v>
      </c>
      <c r="K39" t="s">
        <v>78</v>
      </c>
    </row>
    <row r="40" ht="22.5" customHeight="1" spans="1:11">
      <c r="A40" s="5">
        <v>35</v>
      </c>
      <c r="B40" s="5" t="s">
        <v>31</v>
      </c>
      <c r="C40" s="6" t="s">
        <v>32</v>
      </c>
      <c r="D40" s="6">
        <v>16</v>
      </c>
      <c r="E40" s="49">
        <v>2000</v>
      </c>
      <c r="F40" s="6">
        <v>7219.99999999999</v>
      </c>
      <c r="G40" s="8" t="s">
        <v>33</v>
      </c>
      <c r="H40" s="5">
        <v>1</v>
      </c>
      <c r="I40" s="9">
        <f t="shared" si="1"/>
        <v>1813.664</v>
      </c>
      <c r="J40" s="13" t="s">
        <v>35</v>
      </c>
      <c r="K40" t="s">
        <v>78</v>
      </c>
    </row>
    <row r="41" ht="22.5" customHeight="1" spans="1:11">
      <c r="A41" s="5">
        <v>36</v>
      </c>
      <c r="B41" s="5" t="s">
        <v>31</v>
      </c>
      <c r="C41" s="6" t="s">
        <v>32</v>
      </c>
      <c r="D41" s="6">
        <v>16</v>
      </c>
      <c r="E41" s="49">
        <v>2000</v>
      </c>
      <c r="F41" s="6">
        <v>7520</v>
      </c>
      <c r="G41" s="8" t="s">
        <v>33</v>
      </c>
      <c r="H41" s="5">
        <v>1</v>
      </c>
      <c r="I41" s="9">
        <f t="shared" si="1"/>
        <v>1889.024</v>
      </c>
      <c r="J41" s="13" t="s">
        <v>11</v>
      </c>
      <c r="K41" t="s">
        <v>78</v>
      </c>
    </row>
    <row r="42" ht="22.5" customHeight="1" spans="1:11">
      <c r="A42" s="5">
        <v>37</v>
      </c>
      <c r="B42" s="5" t="s">
        <v>31</v>
      </c>
      <c r="C42" s="6" t="s">
        <v>32</v>
      </c>
      <c r="D42" s="6">
        <v>16</v>
      </c>
      <c r="E42" s="49">
        <v>2000</v>
      </c>
      <c r="F42" s="6">
        <v>7670</v>
      </c>
      <c r="G42" s="8" t="s">
        <v>33</v>
      </c>
      <c r="H42" s="5">
        <v>1</v>
      </c>
      <c r="I42" s="9">
        <f t="shared" si="1"/>
        <v>1926.704</v>
      </c>
      <c r="J42" s="13" t="s">
        <v>35</v>
      </c>
      <c r="K42" t="s">
        <v>78</v>
      </c>
    </row>
    <row r="43" ht="22.5" customHeight="1" spans="1:11">
      <c r="A43" s="5">
        <v>38</v>
      </c>
      <c r="B43" s="5" t="s">
        <v>31</v>
      </c>
      <c r="C43" s="6" t="s">
        <v>32</v>
      </c>
      <c r="D43" s="6">
        <v>16</v>
      </c>
      <c r="E43" s="49">
        <v>2000</v>
      </c>
      <c r="F43" s="6">
        <v>7530</v>
      </c>
      <c r="G43" s="8" t="s">
        <v>33</v>
      </c>
      <c r="H43" s="5">
        <v>1</v>
      </c>
      <c r="I43" s="9">
        <f t="shared" si="1"/>
        <v>1891.536</v>
      </c>
      <c r="J43" s="13" t="s">
        <v>11</v>
      </c>
      <c r="K43" t="s">
        <v>78</v>
      </c>
    </row>
    <row r="44" ht="22.5" customHeight="1" spans="1:11">
      <c r="A44" s="5">
        <v>39</v>
      </c>
      <c r="B44" s="5" t="s">
        <v>31</v>
      </c>
      <c r="C44" s="6" t="s">
        <v>32</v>
      </c>
      <c r="D44" s="6">
        <v>16</v>
      </c>
      <c r="E44" s="49">
        <v>2000</v>
      </c>
      <c r="F44" s="6">
        <v>7670</v>
      </c>
      <c r="G44" s="8" t="s">
        <v>33</v>
      </c>
      <c r="H44" s="5">
        <v>1</v>
      </c>
      <c r="I44" s="9">
        <f t="shared" si="1"/>
        <v>1926.704</v>
      </c>
      <c r="J44" s="13" t="s">
        <v>35</v>
      </c>
      <c r="K44" t="s">
        <v>78</v>
      </c>
    </row>
    <row r="45" ht="22.5" customHeight="1" spans="1:11">
      <c r="A45" s="5">
        <v>40</v>
      </c>
      <c r="B45" s="5" t="s">
        <v>31</v>
      </c>
      <c r="C45" s="6" t="s">
        <v>32</v>
      </c>
      <c r="D45" s="6">
        <v>16</v>
      </c>
      <c r="E45" s="49">
        <v>2000</v>
      </c>
      <c r="F45" s="6">
        <v>7890</v>
      </c>
      <c r="G45" s="8" t="s">
        <v>33</v>
      </c>
      <c r="H45" s="5">
        <v>1</v>
      </c>
      <c r="I45" s="9">
        <f t="shared" si="1"/>
        <v>1981.968</v>
      </c>
      <c r="J45" s="13" t="s">
        <v>11</v>
      </c>
      <c r="K45" t="s">
        <v>78</v>
      </c>
    </row>
    <row r="46" ht="22.5" customHeight="1" spans="1:11">
      <c r="A46" s="5">
        <v>41</v>
      </c>
      <c r="B46" s="5" t="s">
        <v>31</v>
      </c>
      <c r="C46" s="6" t="s">
        <v>32</v>
      </c>
      <c r="D46" s="6">
        <v>16</v>
      </c>
      <c r="E46" s="49">
        <v>2000</v>
      </c>
      <c r="F46" s="6">
        <v>7600</v>
      </c>
      <c r="G46" s="8" t="s">
        <v>33</v>
      </c>
      <c r="H46" s="5">
        <v>1</v>
      </c>
      <c r="I46" s="9">
        <f t="shared" si="1"/>
        <v>1909.12</v>
      </c>
      <c r="J46" s="13" t="s">
        <v>11</v>
      </c>
      <c r="K46" t="s">
        <v>78</v>
      </c>
    </row>
    <row r="47" ht="22.5" customHeight="1" spans="1:11">
      <c r="A47" s="5">
        <v>42</v>
      </c>
      <c r="B47" s="5" t="s">
        <v>31</v>
      </c>
      <c r="C47" s="6" t="s">
        <v>32</v>
      </c>
      <c r="D47" s="6">
        <v>16</v>
      </c>
      <c r="E47" s="49">
        <v>2000</v>
      </c>
      <c r="F47" s="6">
        <v>7600</v>
      </c>
      <c r="G47" s="8" t="s">
        <v>33</v>
      </c>
      <c r="H47" s="5">
        <v>2</v>
      </c>
      <c r="I47" s="9">
        <f t="shared" si="1"/>
        <v>3818.24</v>
      </c>
      <c r="J47" s="13" t="s">
        <v>11</v>
      </c>
      <c r="K47" t="s">
        <v>78</v>
      </c>
    </row>
    <row r="48" ht="22.5" customHeight="1" spans="1:11">
      <c r="A48" s="5">
        <v>43</v>
      </c>
      <c r="B48" s="5" t="s">
        <v>31</v>
      </c>
      <c r="C48" s="6" t="s">
        <v>32</v>
      </c>
      <c r="D48" s="6">
        <v>16</v>
      </c>
      <c r="E48" s="49">
        <v>2000</v>
      </c>
      <c r="F48" s="6">
        <v>7630</v>
      </c>
      <c r="G48" s="8" t="s">
        <v>33</v>
      </c>
      <c r="H48" s="5">
        <v>6</v>
      </c>
      <c r="I48" s="9">
        <f t="shared" si="1"/>
        <v>11499.936</v>
      </c>
      <c r="J48" s="13" t="s">
        <v>11</v>
      </c>
      <c r="K48" t="s">
        <v>78</v>
      </c>
    </row>
    <row r="49" ht="22.5" customHeight="1" spans="1:11">
      <c r="A49" s="5">
        <v>44</v>
      </c>
      <c r="B49" s="5" t="s">
        <v>31</v>
      </c>
      <c r="C49" s="6" t="s">
        <v>32</v>
      </c>
      <c r="D49" s="6">
        <v>16</v>
      </c>
      <c r="E49" s="49">
        <v>2000</v>
      </c>
      <c r="F49" s="6">
        <v>7220</v>
      </c>
      <c r="G49" s="8" t="s">
        <v>33</v>
      </c>
      <c r="H49" s="5">
        <v>1</v>
      </c>
      <c r="I49" s="9">
        <f t="shared" si="1"/>
        <v>1813.664</v>
      </c>
      <c r="J49" s="13" t="s">
        <v>35</v>
      </c>
      <c r="K49" t="s">
        <v>78</v>
      </c>
    </row>
    <row r="50" ht="22.5" customHeight="1" spans="1:11">
      <c r="A50" s="5">
        <v>45</v>
      </c>
      <c r="B50" s="5" t="s">
        <v>31</v>
      </c>
      <c r="C50" s="6" t="s">
        <v>32</v>
      </c>
      <c r="D50" s="6">
        <v>16</v>
      </c>
      <c r="E50" s="49">
        <v>2000</v>
      </c>
      <c r="F50" s="6">
        <v>7710</v>
      </c>
      <c r="G50" s="8" t="s">
        <v>33</v>
      </c>
      <c r="H50" s="5">
        <v>1</v>
      </c>
      <c r="I50" s="9">
        <f t="shared" si="1"/>
        <v>1936.752</v>
      </c>
      <c r="J50" s="13" t="s">
        <v>11</v>
      </c>
      <c r="K50" t="s">
        <v>78</v>
      </c>
    </row>
    <row r="51" ht="22.5" customHeight="1" spans="1:11">
      <c r="A51" s="5">
        <v>46</v>
      </c>
      <c r="B51" s="5" t="s">
        <v>31</v>
      </c>
      <c r="C51" s="6" t="s">
        <v>32</v>
      </c>
      <c r="D51" s="6">
        <v>16</v>
      </c>
      <c r="E51" s="49">
        <v>2000</v>
      </c>
      <c r="F51" s="6">
        <f>(116000+112000+5000-7000)/4/5</f>
        <v>11300</v>
      </c>
      <c r="G51" s="8" t="s">
        <v>33</v>
      </c>
      <c r="H51" s="5">
        <v>5</v>
      </c>
      <c r="I51" s="9">
        <f t="shared" si="1"/>
        <v>14192.8</v>
      </c>
      <c r="J51" s="13" t="s">
        <v>19</v>
      </c>
      <c r="K51" t="s">
        <v>78</v>
      </c>
    </row>
    <row r="52" ht="22.5" customHeight="1" spans="1:11">
      <c r="A52" s="5">
        <v>47</v>
      </c>
      <c r="B52" s="5" t="s">
        <v>31</v>
      </c>
      <c r="C52" s="6" t="s">
        <v>32</v>
      </c>
      <c r="D52" s="6">
        <v>16</v>
      </c>
      <c r="E52" s="49">
        <v>2000</v>
      </c>
      <c r="F52" s="6">
        <v>9900</v>
      </c>
      <c r="G52" s="8" t="s">
        <v>33</v>
      </c>
      <c r="H52" s="5">
        <v>1</v>
      </c>
      <c r="I52" s="9">
        <f t="shared" si="1"/>
        <v>2486.88</v>
      </c>
      <c r="J52" s="13" t="s">
        <v>11</v>
      </c>
      <c r="K52" t="s">
        <v>78</v>
      </c>
    </row>
    <row r="53" ht="22.5" customHeight="1" spans="1:11">
      <c r="A53" s="5">
        <v>48</v>
      </c>
      <c r="B53" s="5" t="s">
        <v>31</v>
      </c>
      <c r="C53" s="6" t="s">
        <v>39</v>
      </c>
      <c r="D53" s="6">
        <v>16</v>
      </c>
      <c r="E53" s="49">
        <v>2000</v>
      </c>
      <c r="F53" s="6">
        <v>10200</v>
      </c>
      <c r="G53" s="8" t="s">
        <v>33</v>
      </c>
      <c r="H53" s="5">
        <v>1</v>
      </c>
      <c r="I53" s="9">
        <f t="shared" si="1"/>
        <v>2562.24</v>
      </c>
      <c r="J53" s="13" t="s">
        <v>38</v>
      </c>
      <c r="K53" t="s">
        <v>78</v>
      </c>
    </row>
    <row r="54" ht="22.5" customHeight="1" spans="1:11">
      <c r="A54" s="5">
        <v>49</v>
      </c>
      <c r="B54" s="5" t="s">
        <v>31</v>
      </c>
      <c r="C54" s="6" t="s">
        <v>32</v>
      </c>
      <c r="D54" s="6">
        <v>16</v>
      </c>
      <c r="E54" s="49">
        <v>2000</v>
      </c>
      <c r="F54" s="6">
        <v>7420</v>
      </c>
      <c r="G54" s="8" t="s">
        <v>33</v>
      </c>
      <c r="H54" s="5">
        <v>10</v>
      </c>
      <c r="I54" s="9">
        <f t="shared" si="1"/>
        <v>18639.04</v>
      </c>
      <c r="J54" s="13" t="s">
        <v>11</v>
      </c>
      <c r="K54" t="s">
        <v>78</v>
      </c>
    </row>
    <row r="55" ht="22.5" customHeight="1" spans="1:11">
      <c r="A55" s="5">
        <v>50</v>
      </c>
      <c r="B55" s="5" t="s">
        <v>31</v>
      </c>
      <c r="C55" s="6" t="s">
        <v>32</v>
      </c>
      <c r="D55" s="6">
        <v>16</v>
      </c>
      <c r="E55" s="49">
        <v>2000</v>
      </c>
      <c r="F55" s="6">
        <v>7430</v>
      </c>
      <c r="G55" s="8" t="s">
        <v>33</v>
      </c>
      <c r="H55" s="5">
        <v>1</v>
      </c>
      <c r="I55" s="9">
        <f t="shared" si="1"/>
        <v>1866.416</v>
      </c>
      <c r="J55" s="13" t="s">
        <v>11</v>
      </c>
      <c r="K55" t="s">
        <v>78</v>
      </c>
    </row>
    <row r="56" ht="22.5" customHeight="1" spans="1:11">
      <c r="A56" s="5">
        <v>51</v>
      </c>
      <c r="B56" s="5" t="s">
        <v>31</v>
      </c>
      <c r="C56" s="6" t="s">
        <v>32</v>
      </c>
      <c r="D56" s="6">
        <v>16</v>
      </c>
      <c r="E56" s="49">
        <v>2000</v>
      </c>
      <c r="F56" s="6">
        <v>7440</v>
      </c>
      <c r="G56" s="8" t="s">
        <v>33</v>
      </c>
      <c r="H56" s="5">
        <v>1</v>
      </c>
      <c r="I56" s="9">
        <f t="shared" si="1"/>
        <v>1868.928</v>
      </c>
      <c r="J56" s="13" t="s">
        <v>11</v>
      </c>
      <c r="K56" t="s">
        <v>78</v>
      </c>
    </row>
    <row r="57" ht="22.5" customHeight="1" spans="1:11">
      <c r="A57" s="5">
        <v>52</v>
      </c>
      <c r="B57" s="5" t="s">
        <v>31</v>
      </c>
      <c r="C57" s="6" t="s">
        <v>32</v>
      </c>
      <c r="D57" s="6">
        <v>16</v>
      </c>
      <c r="E57" s="49">
        <v>2000</v>
      </c>
      <c r="F57" s="6">
        <v>7750</v>
      </c>
      <c r="G57" s="8" t="s">
        <v>33</v>
      </c>
      <c r="H57" s="5">
        <v>1</v>
      </c>
      <c r="I57" s="9">
        <f t="shared" si="1"/>
        <v>1946.8</v>
      </c>
      <c r="J57" s="13" t="s">
        <v>11</v>
      </c>
      <c r="K57" t="s">
        <v>78</v>
      </c>
    </row>
    <row r="58" ht="22.5" customHeight="1" spans="1:12">
      <c r="A58" s="5">
        <v>53</v>
      </c>
      <c r="B58" s="5" t="s">
        <v>31</v>
      </c>
      <c r="C58" s="6" t="s">
        <v>32</v>
      </c>
      <c r="D58" s="6">
        <v>16</v>
      </c>
      <c r="E58" s="49">
        <v>2000</v>
      </c>
      <c r="F58" s="6">
        <v>9700</v>
      </c>
      <c r="G58" s="8" t="s">
        <v>33</v>
      </c>
      <c r="H58" s="5">
        <v>1</v>
      </c>
      <c r="I58" s="9">
        <f t="shared" si="1"/>
        <v>2436.64</v>
      </c>
      <c r="J58" s="13" t="s">
        <v>11</v>
      </c>
      <c r="K58" t="s">
        <v>78</v>
      </c>
      <c r="L58">
        <f>SUM(I9:I58)</f>
        <v>180649.183808</v>
      </c>
    </row>
    <row r="59" ht="22.5" customHeight="1" spans="1:10">
      <c r="A59" s="5" t="s">
        <v>40</v>
      </c>
      <c r="B59" s="5"/>
      <c r="C59" s="5"/>
      <c r="D59" s="5"/>
      <c r="E59" s="5"/>
      <c r="F59" s="5"/>
      <c r="G59" s="5"/>
      <c r="H59" s="5"/>
      <c r="I59" s="149">
        <f>SUM(I6:I58)</f>
        <v>189589.894208</v>
      </c>
      <c r="J59" s="13"/>
    </row>
    <row r="60" ht="22.5" customHeight="1" spans="1:10">
      <c r="A60" s="22" t="s">
        <v>41</v>
      </c>
      <c r="B60" s="22"/>
      <c r="C60" s="22"/>
      <c r="D60" s="22"/>
      <c r="E60" s="22"/>
      <c r="F60" s="22"/>
      <c r="G60" s="22"/>
      <c r="H60" s="22"/>
      <c r="I60" s="22"/>
      <c r="J60" s="22"/>
    </row>
    <row r="61" ht="22.5" customHeight="1" spans="1:10">
      <c r="A61" s="22" t="s">
        <v>79</v>
      </c>
      <c r="B61" s="22"/>
      <c r="C61" s="22"/>
      <c r="D61" s="22"/>
      <c r="E61" s="22"/>
      <c r="F61" s="22"/>
      <c r="G61" s="22"/>
      <c r="H61" s="22"/>
      <c r="I61" s="22"/>
      <c r="J61" s="22"/>
    </row>
    <row r="62" ht="30" customHeight="1" spans="1:10">
      <c r="A62" s="16" t="s">
        <v>74</v>
      </c>
      <c r="B62" s="17"/>
      <c r="C62" s="17"/>
      <c r="D62" s="17"/>
      <c r="E62" s="17"/>
      <c r="F62" s="17"/>
      <c r="G62" s="17"/>
      <c r="H62" s="17"/>
      <c r="I62" s="17"/>
      <c r="J62" s="17"/>
    </row>
  </sheetData>
  <autoFilter ref="A5:J62">
    <extLst/>
  </autoFilter>
  <mergeCells count="7">
    <mergeCell ref="A1:J1"/>
    <mergeCell ref="A2:J2"/>
    <mergeCell ref="A3:F3"/>
    <mergeCell ref="A59:H59"/>
    <mergeCell ref="A60:J60"/>
    <mergeCell ref="A61:J61"/>
    <mergeCell ref="A62:J62"/>
  </mergeCells>
  <pageMargins left="0.751388888888889" right="0.751388888888889" top="1" bottom="1" header="0.5" footer="0.5"/>
  <pageSetup paperSize="9" scale="71" fitToHeight="0" orientation="portrait"/>
  <headerFooter>
    <oddFooter>&amp;C第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pageSetUpPr fitToPage="1"/>
  </sheetPr>
  <dimension ref="A1:N68"/>
  <sheetViews>
    <sheetView topLeftCell="A44" workbookViewId="0">
      <selection activeCell="L24" sqref="L24"/>
    </sheetView>
  </sheetViews>
  <sheetFormatPr defaultColWidth="9" defaultRowHeight="13.5"/>
  <cols>
    <col min="1" max="2" width="8.625" customWidth="1"/>
    <col min="3" max="3" width="10.375" customWidth="1"/>
    <col min="4" max="6" width="11" customWidth="1"/>
    <col min="7" max="8" width="8.625" customWidth="1"/>
    <col min="9" max="9" width="12.875" style="147" customWidth="1"/>
    <col min="10" max="10" width="11.625" customWidth="1"/>
    <col min="11" max="11" width="10" customWidth="1"/>
    <col min="12" max="12" width="12.625"/>
  </cols>
  <sheetData>
    <row r="1" ht="28.5" customHeight="1" spans="1:10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</row>
    <row r="2" ht="28.5" customHeight="1" spans="1:10">
      <c r="A2" s="15" t="s">
        <v>20</v>
      </c>
      <c r="B2" s="15"/>
      <c r="C2" s="15"/>
      <c r="D2" s="15"/>
      <c r="E2" s="15"/>
      <c r="F2" s="15"/>
      <c r="G2" s="15"/>
      <c r="H2" s="15"/>
      <c r="I2" s="15"/>
      <c r="J2" s="15"/>
    </row>
    <row r="3" ht="22.5" customHeight="1" spans="1:10">
      <c r="A3" s="16" t="s">
        <v>21</v>
      </c>
      <c r="B3" s="17"/>
      <c r="C3" s="17"/>
      <c r="D3" s="17"/>
      <c r="E3" s="17"/>
      <c r="F3" s="17"/>
      <c r="G3" s="17"/>
      <c r="H3" s="17"/>
      <c r="I3" s="44"/>
      <c r="J3" s="26"/>
    </row>
    <row r="4" ht="22.5" customHeight="1" spans="1:10">
      <c r="A4" s="18" t="s">
        <v>46</v>
      </c>
      <c r="B4" s="19"/>
      <c r="C4" s="19"/>
      <c r="D4" s="17"/>
      <c r="E4" s="19"/>
      <c r="F4" s="19"/>
      <c r="G4" s="17"/>
      <c r="H4" s="17"/>
      <c r="I4" s="45"/>
      <c r="J4" s="26"/>
    </row>
    <row r="5" ht="22.5" customHeight="1" spans="1:10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4" t="s">
        <v>29</v>
      </c>
      <c r="J5" s="11" t="s">
        <v>30</v>
      </c>
    </row>
    <row r="6" ht="22.5" customHeight="1" spans="1:12">
      <c r="A6" s="5">
        <v>1</v>
      </c>
      <c r="B6" s="5" t="s">
        <v>31</v>
      </c>
      <c r="C6" s="6" t="s">
        <v>32</v>
      </c>
      <c r="D6" s="6">
        <v>12</v>
      </c>
      <c r="E6" s="20">
        <v>1800</v>
      </c>
      <c r="F6" s="6">
        <v>6860</v>
      </c>
      <c r="G6" s="8" t="s">
        <v>33</v>
      </c>
      <c r="H6" s="5">
        <v>1</v>
      </c>
      <c r="I6" s="9">
        <f t="shared" ref="I6:I37" si="0">E6*F6*D6*H6*7.85/1000000</f>
        <v>1163.1816</v>
      </c>
      <c r="J6" s="13" t="s">
        <v>17</v>
      </c>
      <c r="K6" s="33" t="s">
        <v>80</v>
      </c>
      <c r="L6" s="33">
        <v>1</v>
      </c>
    </row>
    <row r="7" ht="22.5" customHeight="1" spans="1:12">
      <c r="A7" s="5">
        <v>2</v>
      </c>
      <c r="B7" s="5" t="s">
        <v>31</v>
      </c>
      <c r="C7" s="6" t="s">
        <v>32</v>
      </c>
      <c r="D7" s="6">
        <v>12</v>
      </c>
      <c r="E7" s="20">
        <v>2000</v>
      </c>
      <c r="F7" s="6">
        <v>10020</v>
      </c>
      <c r="G7" s="8" t="s">
        <v>33</v>
      </c>
      <c r="H7" s="5">
        <v>2</v>
      </c>
      <c r="I7" s="9">
        <f t="shared" si="0"/>
        <v>3775.536</v>
      </c>
      <c r="J7" s="13" t="s">
        <v>16</v>
      </c>
      <c r="K7" s="33" t="s">
        <v>81</v>
      </c>
      <c r="L7" s="33">
        <v>2</v>
      </c>
    </row>
    <row r="8" ht="22.5" customHeight="1" spans="1:14">
      <c r="A8" s="5">
        <v>3</v>
      </c>
      <c r="B8" s="5" t="s">
        <v>31</v>
      </c>
      <c r="C8" s="6" t="s">
        <v>32</v>
      </c>
      <c r="D8" s="6">
        <v>12</v>
      </c>
      <c r="E8" s="20">
        <v>2000</v>
      </c>
      <c r="F8" s="6">
        <v>11600</v>
      </c>
      <c r="G8" s="8" t="s">
        <v>33</v>
      </c>
      <c r="H8" s="10">
        <v>2</v>
      </c>
      <c r="I8" s="9">
        <f t="shared" si="0"/>
        <v>4370.88</v>
      </c>
      <c r="J8" s="13" t="s">
        <v>15</v>
      </c>
      <c r="K8" s="33" t="s">
        <v>82</v>
      </c>
      <c r="L8" s="33">
        <v>1</v>
      </c>
      <c r="M8" s="33" t="s">
        <v>83</v>
      </c>
      <c r="N8" s="33">
        <v>1</v>
      </c>
    </row>
    <row r="9" ht="22.5" customHeight="1" spans="1:11">
      <c r="A9" s="5">
        <v>4</v>
      </c>
      <c r="B9" s="5" t="s">
        <v>31</v>
      </c>
      <c r="C9" s="6" t="s">
        <v>32</v>
      </c>
      <c r="D9" s="6">
        <v>16</v>
      </c>
      <c r="E9" s="20">
        <v>1500</v>
      </c>
      <c r="F9" s="6">
        <v>12410</v>
      </c>
      <c r="G9" s="8" t="s">
        <v>33</v>
      </c>
      <c r="H9" s="5">
        <v>1</v>
      </c>
      <c r="I9" s="9">
        <f t="shared" si="0"/>
        <v>2338.044</v>
      </c>
      <c r="J9" s="13" t="s">
        <v>35</v>
      </c>
      <c r="K9" t="s">
        <v>84</v>
      </c>
    </row>
    <row r="10" ht="22.5" customHeight="1" spans="1:11">
      <c r="A10" s="5">
        <v>5</v>
      </c>
      <c r="B10" s="5" t="s">
        <v>31</v>
      </c>
      <c r="C10" s="6" t="s">
        <v>32</v>
      </c>
      <c r="D10" s="6">
        <v>16</v>
      </c>
      <c r="E10" s="20">
        <v>1500</v>
      </c>
      <c r="F10" s="6">
        <v>8010</v>
      </c>
      <c r="G10" s="8" t="s">
        <v>33</v>
      </c>
      <c r="H10" s="5">
        <v>1</v>
      </c>
      <c r="I10" s="9">
        <f t="shared" si="0"/>
        <v>1509.084</v>
      </c>
      <c r="J10" s="13" t="s">
        <v>34</v>
      </c>
      <c r="K10" t="s">
        <v>84</v>
      </c>
    </row>
    <row r="11" ht="22.5" customHeight="1" spans="1:11">
      <c r="A11" s="5">
        <v>6</v>
      </c>
      <c r="B11" s="5" t="s">
        <v>31</v>
      </c>
      <c r="C11" s="6" t="s">
        <v>32</v>
      </c>
      <c r="D11" s="6">
        <v>16</v>
      </c>
      <c r="E11" s="20">
        <v>1500</v>
      </c>
      <c r="F11" s="6">
        <v>8030</v>
      </c>
      <c r="G11" s="8" t="s">
        <v>33</v>
      </c>
      <c r="H11" s="5">
        <v>1</v>
      </c>
      <c r="I11" s="9">
        <f t="shared" si="0"/>
        <v>1512.852</v>
      </c>
      <c r="J11" s="13" t="s">
        <v>34</v>
      </c>
      <c r="K11" t="s">
        <v>84</v>
      </c>
    </row>
    <row r="12" ht="22.5" customHeight="1" spans="1:11">
      <c r="A12" s="5">
        <v>7</v>
      </c>
      <c r="B12" s="5" t="s">
        <v>31</v>
      </c>
      <c r="C12" s="6" t="s">
        <v>32</v>
      </c>
      <c r="D12" s="6">
        <v>16</v>
      </c>
      <c r="E12" s="20">
        <v>1500</v>
      </c>
      <c r="F12" s="6">
        <v>8060</v>
      </c>
      <c r="G12" s="8" t="s">
        <v>33</v>
      </c>
      <c r="H12" s="5">
        <v>1</v>
      </c>
      <c r="I12" s="9">
        <f t="shared" si="0"/>
        <v>1518.504</v>
      </c>
      <c r="J12" s="13" t="s">
        <v>34</v>
      </c>
      <c r="K12" t="s">
        <v>84</v>
      </c>
    </row>
    <row r="13" ht="22.5" customHeight="1" spans="1:11">
      <c r="A13" s="5">
        <v>8</v>
      </c>
      <c r="B13" s="5" t="s">
        <v>31</v>
      </c>
      <c r="C13" s="6" t="s">
        <v>32</v>
      </c>
      <c r="D13" s="6">
        <v>16</v>
      </c>
      <c r="E13" s="20">
        <v>1500</v>
      </c>
      <c r="F13" s="6">
        <v>9990</v>
      </c>
      <c r="G13" s="8" t="s">
        <v>33</v>
      </c>
      <c r="H13" s="5">
        <v>1</v>
      </c>
      <c r="I13" s="9">
        <f t="shared" si="0"/>
        <v>1882.116</v>
      </c>
      <c r="J13" s="13" t="s">
        <v>34</v>
      </c>
      <c r="K13" t="s">
        <v>84</v>
      </c>
    </row>
    <row r="14" ht="22.5" customHeight="1" spans="1:11">
      <c r="A14" s="5">
        <v>9</v>
      </c>
      <c r="B14" s="5" t="s">
        <v>31</v>
      </c>
      <c r="C14" s="6" t="s">
        <v>32</v>
      </c>
      <c r="D14" s="6">
        <v>16</v>
      </c>
      <c r="E14" s="20">
        <v>1500</v>
      </c>
      <c r="F14" s="6">
        <v>11050</v>
      </c>
      <c r="G14" s="8" t="s">
        <v>33</v>
      </c>
      <c r="H14" s="5">
        <v>1</v>
      </c>
      <c r="I14" s="9">
        <f t="shared" si="0"/>
        <v>2081.82</v>
      </c>
      <c r="J14" s="13" t="s">
        <v>34</v>
      </c>
      <c r="K14" t="s">
        <v>84</v>
      </c>
    </row>
    <row r="15" ht="22.5" customHeight="1" spans="1:11">
      <c r="A15" s="5">
        <v>10</v>
      </c>
      <c r="B15" s="5" t="s">
        <v>31</v>
      </c>
      <c r="C15" s="6" t="s">
        <v>32</v>
      </c>
      <c r="D15" s="6">
        <v>16</v>
      </c>
      <c r="E15" s="20">
        <v>1500</v>
      </c>
      <c r="F15" s="6">
        <v>8050</v>
      </c>
      <c r="G15" s="8" t="s">
        <v>33</v>
      </c>
      <c r="H15" s="5">
        <v>1</v>
      </c>
      <c r="I15" s="9">
        <f t="shared" si="0"/>
        <v>1516.62</v>
      </c>
      <c r="J15" s="13" t="s">
        <v>34</v>
      </c>
      <c r="K15" t="s">
        <v>84</v>
      </c>
    </row>
    <row r="16" ht="22.5" customHeight="1" spans="1:11">
      <c r="A16" s="5">
        <v>11</v>
      </c>
      <c r="B16" s="5" t="s">
        <v>31</v>
      </c>
      <c r="C16" s="6" t="s">
        <v>32</v>
      </c>
      <c r="D16" s="6">
        <v>16</v>
      </c>
      <c r="E16" s="20">
        <v>1800</v>
      </c>
      <c r="F16" s="6">
        <v>11220</v>
      </c>
      <c r="G16" s="8" t="s">
        <v>33</v>
      </c>
      <c r="H16" s="5">
        <v>1</v>
      </c>
      <c r="I16" s="9">
        <f t="shared" si="0"/>
        <v>2536.6176</v>
      </c>
      <c r="J16" s="13" t="s">
        <v>34</v>
      </c>
      <c r="K16" t="s">
        <v>84</v>
      </c>
    </row>
    <row r="17" ht="22.5" customHeight="1" spans="1:11">
      <c r="A17" s="5">
        <v>12</v>
      </c>
      <c r="B17" s="5" t="s">
        <v>31</v>
      </c>
      <c r="C17" s="6" t="s">
        <v>32</v>
      </c>
      <c r="D17" s="6">
        <v>16</v>
      </c>
      <c r="E17" s="20">
        <v>1800</v>
      </c>
      <c r="F17" s="6">
        <v>11940</v>
      </c>
      <c r="G17" s="8" t="s">
        <v>33</v>
      </c>
      <c r="H17" s="5">
        <v>1</v>
      </c>
      <c r="I17" s="9">
        <f t="shared" si="0"/>
        <v>2699.3952</v>
      </c>
      <c r="J17" s="13" t="s">
        <v>34</v>
      </c>
      <c r="K17" t="s">
        <v>84</v>
      </c>
    </row>
    <row r="18" ht="22.5" customHeight="1" spans="1:11">
      <c r="A18" s="5">
        <v>13</v>
      </c>
      <c r="B18" s="5" t="s">
        <v>31</v>
      </c>
      <c r="C18" s="6" t="s">
        <v>32</v>
      </c>
      <c r="D18" s="6">
        <v>16</v>
      </c>
      <c r="E18" s="20">
        <v>1800</v>
      </c>
      <c r="F18" s="6">
        <v>9990</v>
      </c>
      <c r="G18" s="8" t="s">
        <v>33</v>
      </c>
      <c r="H18" s="5">
        <v>1</v>
      </c>
      <c r="I18" s="9">
        <f t="shared" si="0"/>
        <v>2258.5392</v>
      </c>
      <c r="J18" s="13" t="s">
        <v>36</v>
      </c>
      <c r="K18" t="s">
        <v>84</v>
      </c>
    </row>
    <row r="19" ht="22.5" customHeight="1" spans="1:11">
      <c r="A19" s="5">
        <v>14</v>
      </c>
      <c r="B19" s="5" t="s">
        <v>31</v>
      </c>
      <c r="C19" s="6" t="s">
        <v>32</v>
      </c>
      <c r="D19" s="6">
        <v>16</v>
      </c>
      <c r="E19" s="20">
        <v>1800</v>
      </c>
      <c r="F19" s="6">
        <v>7640</v>
      </c>
      <c r="G19" s="8" t="s">
        <v>33</v>
      </c>
      <c r="H19" s="5">
        <v>1</v>
      </c>
      <c r="I19" s="9">
        <f t="shared" si="0"/>
        <v>1727.2512</v>
      </c>
      <c r="J19" s="13" t="s">
        <v>36</v>
      </c>
      <c r="K19" t="s">
        <v>84</v>
      </c>
    </row>
    <row r="20" ht="22.5" customHeight="1" spans="1:11">
      <c r="A20" s="5">
        <v>15</v>
      </c>
      <c r="B20" s="5" t="s">
        <v>31</v>
      </c>
      <c r="C20" s="6" t="s">
        <v>32</v>
      </c>
      <c r="D20" s="6">
        <v>16</v>
      </c>
      <c r="E20" s="20">
        <v>1800</v>
      </c>
      <c r="F20" s="6">
        <v>8040</v>
      </c>
      <c r="G20" s="8" t="s">
        <v>33</v>
      </c>
      <c r="H20" s="5">
        <v>1</v>
      </c>
      <c r="I20" s="9">
        <f t="shared" si="0"/>
        <v>1817.6832</v>
      </c>
      <c r="J20" s="13" t="s">
        <v>36</v>
      </c>
      <c r="K20" t="s">
        <v>84</v>
      </c>
    </row>
    <row r="21" ht="22.5" customHeight="1" spans="1:11">
      <c r="A21" s="5">
        <v>16</v>
      </c>
      <c r="B21" s="5" t="s">
        <v>31</v>
      </c>
      <c r="C21" s="6" t="s">
        <v>32</v>
      </c>
      <c r="D21" s="6">
        <v>16</v>
      </c>
      <c r="E21" s="20">
        <v>1800</v>
      </c>
      <c r="F21" s="6">
        <v>8090</v>
      </c>
      <c r="G21" s="8" t="s">
        <v>33</v>
      </c>
      <c r="H21" s="5">
        <v>1</v>
      </c>
      <c r="I21" s="9">
        <f t="shared" si="0"/>
        <v>1828.9872</v>
      </c>
      <c r="J21" s="13" t="s">
        <v>36</v>
      </c>
      <c r="K21" t="s">
        <v>84</v>
      </c>
    </row>
    <row r="22" ht="22.5" customHeight="1" spans="1:11">
      <c r="A22" s="5">
        <v>17</v>
      </c>
      <c r="B22" s="5" t="s">
        <v>31</v>
      </c>
      <c r="C22" s="6" t="s">
        <v>32</v>
      </c>
      <c r="D22" s="6">
        <v>16</v>
      </c>
      <c r="E22" s="20">
        <v>1800</v>
      </c>
      <c r="F22" s="6">
        <v>7620</v>
      </c>
      <c r="G22" s="8" t="s">
        <v>33</v>
      </c>
      <c r="H22" s="5">
        <v>1</v>
      </c>
      <c r="I22" s="9">
        <f t="shared" si="0"/>
        <v>1722.7296</v>
      </c>
      <c r="J22" s="13" t="s">
        <v>36</v>
      </c>
      <c r="K22" t="s">
        <v>84</v>
      </c>
    </row>
    <row r="23" ht="22.5" customHeight="1" spans="1:11">
      <c r="A23" s="5">
        <v>18</v>
      </c>
      <c r="B23" s="5" t="s">
        <v>31</v>
      </c>
      <c r="C23" s="6" t="s">
        <v>32</v>
      </c>
      <c r="D23" s="6">
        <v>16</v>
      </c>
      <c r="E23" s="20">
        <v>1800</v>
      </c>
      <c r="F23" s="6">
        <v>8020</v>
      </c>
      <c r="G23" s="8" t="s">
        <v>33</v>
      </c>
      <c r="H23" s="5">
        <v>1</v>
      </c>
      <c r="I23" s="9">
        <f t="shared" si="0"/>
        <v>1813.1616</v>
      </c>
      <c r="J23" s="13" t="s">
        <v>36</v>
      </c>
      <c r="K23" t="s">
        <v>84</v>
      </c>
    </row>
    <row r="24" ht="22.5" customHeight="1" spans="1:11">
      <c r="A24" s="5">
        <v>19</v>
      </c>
      <c r="B24" s="5" t="s">
        <v>31</v>
      </c>
      <c r="C24" s="6" t="s">
        <v>32</v>
      </c>
      <c r="D24" s="6">
        <v>16</v>
      </c>
      <c r="E24" s="20">
        <v>1800</v>
      </c>
      <c r="F24" s="6">
        <f>(391840+2000)/5/9</f>
        <v>8752</v>
      </c>
      <c r="G24" s="8" t="s">
        <v>33</v>
      </c>
      <c r="H24" s="5">
        <v>9</v>
      </c>
      <c r="I24" s="9">
        <f t="shared" si="0"/>
        <v>17807.86944</v>
      </c>
      <c r="J24" s="13" t="s">
        <v>14</v>
      </c>
      <c r="K24" t="s">
        <v>84</v>
      </c>
    </row>
    <row r="25" ht="22.5" customHeight="1" spans="1:11">
      <c r="A25" s="5">
        <v>20</v>
      </c>
      <c r="B25" s="5" t="s">
        <v>31</v>
      </c>
      <c r="C25" s="6" t="s">
        <v>32</v>
      </c>
      <c r="D25" s="6">
        <v>16</v>
      </c>
      <c r="E25" s="20">
        <v>1800</v>
      </c>
      <c r="F25" s="6">
        <v>7960</v>
      </c>
      <c r="G25" s="8" t="s">
        <v>33</v>
      </c>
      <c r="H25" s="5">
        <v>1</v>
      </c>
      <c r="I25" s="9">
        <f t="shared" si="0"/>
        <v>1799.5968</v>
      </c>
      <c r="J25" s="13" t="s">
        <v>36</v>
      </c>
      <c r="K25" t="s">
        <v>84</v>
      </c>
    </row>
    <row r="26" ht="22.5" customHeight="1" spans="1:11">
      <c r="A26" s="5">
        <v>21</v>
      </c>
      <c r="B26" s="5" t="s">
        <v>31</v>
      </c>
      <c r="C26" s="6" t="s">
        <v>32</v>
      </c>
      <c r="D26" s="6">
        <v>16</v>
      </c>
      <c r="E26" s="20">
        <v>1800</v>
      </c>
      <c r="F26" s="6">
        <v>12720</v>
      </c>
      <c r="G26" s="8" t="s">
        <v>33</v>
      </c>
      <c r="H26" s="5">
        <v>1</v>
      </c>
      <c r="I26" s="9">
        <f t="shared" si="0"/>
        <v>2875.7376</v>
      </c>
      <c r="J26" s="13" t="s">
        <v>36</v>
      </c>
      <c r="K26" t="s">
        <v>84</v>
      </c>
    </row>
    <row r="27" ht="22.5" customHeight="1" spans="1:11">
      <c r="A27" s="5">
        <v>22</v>
      </c>
      <c r="B27" s="5" t="s">
        <v>31</v>
      </c>
      <c r="C27" s="6" t="s">
        <v>32</v>
      </c>
      <c r="D27" s="6">
        <v>16</v>
      </c>
      <c r="E27" s="20">
        <v>1800</v>
      </c>
      <c r="F27" s="6">
        <v>7550</v>
      </c>
      <c r="G27" s="8" t="s">
        <v>33</v>
      </c>
      <c r="H27" s="5">
        <v>1</v>
      </c>
      <c r="I27" s="9">
        <f t="shared" si="0"/>
        <v>1706.904</v>
      </c>
      <c r="J27" s="13" t="s">
        <v>35</v>
      </c>
      <c r="K27" t="s">
        <v>84</v>
      </c>
    </row>
    <row r="28" ht="22.5" customHeight="1" spans="1:11">
      <c r="A28" s="5">
        <v>23</v>
      </c>
      <c r="B28" s="5" t="s">
        <v>31</v>
      </c>
      <c r="C28" s="6" t="s">
        <v>32</v>
      </c>
      <c r="D28" s="6">
        <v>16</v>
      </c>
      <c r="E28" s="20">
        <v>1800</v>
      </c>
      <c r="F28" s="6">
        <v>8170</v>
      </c>
      <c r="G28" s="8" t="s">
        <v>33</v>
      </c>
      <c r="H28" s="5">
        <v>1</v>
      </c>
      <c r="I28" s="9">
        <f t="shared" si="0"/>
        <v>1847.0736</v>
      </c>
      <c r="J28" s="13" t="s">
        <v>34</v>
      </c>
      <c r="K28" t="s">
        <v>84</v>
      </c>
    </row>
    <row r="29" ht="22.5" customHeight="1" spans="1:11">
      <c r="A29" s="5">
        <v>24</v>
      </c>
      <c r="B29" s="5" t="s">
        <v>31</v>
      </c>
      <c r="C29" s="6" t="s">
        <v>32</v>
      </c>
      <c r="D29" s="6">
        <v>16</v>
      </c>
      <c r="E29" s="20">
        <v>1800</v>
      </c>
      <c r="F29" s="6">
        <v>8370</v>
      </c>
      <c r="G29" s="8" t="s">
        <v>33</v>
      </c>
      <c r="H29" s="5">
        <v>1</v>
      </c>
      <c r="I29" s="9">
        <f t="shared" si="0"/>
        <v>1892.2896</v>
      </c>
      <c r="J29" s="13" t="s">
        <v>34</v>
      </c>
      <c r="K29" t="s">
        <v>84</v>
      </c>
    </row>
    <row r="30" ht="22.5" customHeight="1" spans="1:11">
      <c r="A30" s="5">
        <v>25</v>
      </c>
      <c r="B30" s="5" t="s">
        <v>31</v>
      </c>
      <c r="C30" s="6" t="s">
        <v>32</v>
      </c>
      <c r="D30" s="6">
        <v>16</v>
      </c>
      <c r="E30" s="20">
        <v>1800</v>
      </c>
      <c r="F30" s="6">
        <v>9590</v>
      </c>
      <c r="G30" s="8" t="s">
        <v>33</v>
      </c>
      <c r="H30" s="5">
        <v>1</v>
      </c>
      <c r="I30" s="9">
        <f t="shared" si="0"/>
        <v>2168.1072</v>
      </c>
      <c r="J30" s="13" t="s">
        <v>34</v>
      </c>
      <c r="K30" t="s">
        <v>84</v>
      </c>
    </row>
    <row r="31" ht="22.5" customHeight="1" spans="1:11">
      <c r="A31" s="5">
        <v>26</v>
      </c>
      <c r="B31" s="5" t="s">
        <v>31</v>
      </c>
      <c r="C31" s="6" t="s">
        <v>37</v>
      </c>
      <c r="D31" s="6">
        <v>16</v>
      </c>
      <c r="E31" s="20">
        <v>1800</v>
      </c>
      <c r="F31" s="6">
        <v>11230</v>
      </c>
      <c r="G31" s="8" t="s">
        <v>33</v>
      </c>
      <c r="H31" s="5">
        <v>1</v>
      </c>
      <c r="I31" s="9">
        <f t="shared" si="0"/>
        <v>2538.8784</v>
      </c>
      <c r="J31" s="13" t="s">
        <v>38</v>
      </c>
      <c r="K31" t="s">
        <v>84</v>
      </c>
    </row>
    <row r="32" ht="22.5" customHeight="1" spans="1:11">
      <c r="A32" s="5">
        <v>27</v>
      </c>
      <c r="B32" s="5" t="s">
        <v>31</v>
      </c>
      <c r="C32" s="6" t="s">
        <v>32</v>
      </c>
      <c r="D32" s="6">
        <v>16</v>
      </c>
      <c r="E32" s="20">
        <v>1800</v>
      </c>
      <c r="F32" s="6">
        <v>11340</v>
      </c>
      <c r="G32" s="8" t="s">
        <v>33</v>
      </c>
      <c r="H32" s="5">
        <v>1</v>
      </c>
      <c r="I32" s="9">
        <f t="shared" si="0"/>
        <v>2563.7472</v>
      </c>
      <c r="J32" s="13" t="s">
        <v>36</v>
      </c>
      <c r="K32" t="s">
        <v>84</v>
      </c>
    </row>
    <row r="33" ht="22.5" customHeight="1" spans="1:11">
      <c r="A33" s="5">
        <v>28</v>
      </c>
      <c r="B33" s="5" t="s">
        <v>31</v>
      </c>
      <c r="C33" s="6" t="s">
        <v>32</v>
      </c>
      <c r="D33" s="6">
        <v>16</v>
      </c>
      <c r="E33" s="20">
        <v>1800</v>
      </c>
      <c r="F33" s="6">
        <v>11670</v>
      </c>
      <c r="G33" s="8" t="s">
        <v>33</v>
      </c>
      <c r="H33" s="5">
        <v>1</v>
      </c>
      <c r="I33" s="9">
        <f t="shared" si="0"/>
        <v>2638.3536</v>
      </c>
      <c r="J33" s="13" t="s">
        <v>34</v>
      </c>
      <c r="K33" t="s">
        <v>84</v>
      </c>
    </row>
    <row r="34" ht="22.5" customHeight="1" spans="1:11">
      <c r="A34" s="5">
        <v>29</v>
      </c>
      <c r="B34" s="5" t="s">
        <v>31</v>
      </c>
      <c r="C34" s="6" t="s">
        <v>32</v>
      </c>
      <c r="D34" s="6">
        <v>16</v>
      </c>
      <c r="E34" s="20">
        <v>1800</v>
      </c>
      <c r="F34" s="6">
        <v>7420</v>
      </c>
      <c r="G34" s="8" t="s">
        <v>33</v>
      </c>
      <c r="H34" s="5">
        <v>1</v>
      </c>
      <c r="I34" s="9">
        <f t="shared" si="0"/>
        <v>1677.5136</v>
      </c>
      <c r="J34" s="13" t="s">
        <v>11</v>
      </c>
      <c r="K34" t="s">
        <v>84</v>
      </c>
    </row>
    <row r="35" ht="22.5" customHeight="1" spans="1:11">
      <c r="A35" s="5">
        <v>30</v>
      </c>
      <c r="B35" s="5" t="s">
        <v>31</v>
      </c>
      <c r="C35" s="6" t="s">
        <v>32</v>
      </c>
      <c r="D35" s="6">
        <v>16</v>
      </c>
      <c r="E35" s="20">
        <v>1800</v>
      </c>
      <c r="F35" s="6">
        <v>7440</v>
      </c>
      <c r="G35" s="8" t="s">
        <v>33</v>
      </c>
      <c r="H35" s="5">
        <v>1</v>
      </c>
      <c r="I35" s="9">
        <f t="shared" si="0"/>
        <v>1682.0352</v>
      </c>
      <c r="J35" s="13" t="s">
        <v>11</v>
      </c>
      <c r="K35" t="s">
        <v>84</v>
      </c>
    </row>
    <row r="36" ht="22.5" customHeight="1" spans="1:11">
      <c r="A36" s="5">
        <v>31</v>
      </c>
      <c r="B36" s="5" t="s">
        <v>31</v>
      </c>
      <c r="C36" s="6" t="s">
        <v>32</v>
      </c>
      <c r="D36" s="6">
        <v>16</v>
      </c>
      <c r="E36" s="20">
        <v>1800</v>
      </c>
      <c r="F36" s="6">
        <v>8060</v>
      </c>
      <c r="G36" s="8" t="s">
        <v>33</v>
      </c>
      <c r="H36" s="5">
        <v>1</v>
      </c>
      <c r="I36" s="9">
        <f t="shared" si="0"/>
        <v>1822.2048</v>
      </c>
      <c r="J36" s="13" t="s">
        <v>34</v>
      </c>
      <c r="K36" t="s">
        <v>84</v>
      </c>
    </row>
    <row r="37" ht="22.5" customHeight="1" spans="1:11">
      <c r="A37" s="5">
        <v>32</v>
      </c>
      <c r="B37" s="5" t="s">
        <v>31</v>
      </c>
      <c r="C37" s="6" t="s">
        <v>32</v>
      </c>
      <c r="D37" s="6">
        <v>16</v>
      </c>
      <c r="E37" s="20">
        <v>1800</v>
      </c>
      <c r="F37" s="6">
        <v>9690</v>
      </c>
      <c r="G37" s="8" t="s">
        <v>33</v>
      </c>
      <c r="H37" s="5">
        <v>1</v>
      </c>
      <c r="I37" s="9">
        <f t="shared" si="0"/>
        <v>2190.7152</v>
      </c>
      <c r="J37" s="13" t="s">
        <v>11</v>
      </c>
      <c r="K37" t="s">
        <v>84</v>
      </c>
    </row>
    <row r="38" ht="22.5" customHeight="1" spans="1:11">
      <c r="A38" s="5">
        <v>33</v>
      </c>
      <c r="B38" s="5" t="s">
        <v>31</v>
      </c>
      <c r="C38" s="6" t="s">
        <v>32</v>
      </c>
      <c r="D38" s="6">
        <v>16</v>
      </c>
      <c r="E38" s="20">
        <v>1800</v>
      </c>
      <c r="F38" s="6">
        <v>7470</v>
      </c>
      <c r="G38" s="8" t="s">
        <v>33</v>
      </c>
      <c r="H38" s="5">
        <v>1</v>
      </c>
      <c r="I38" s="9">
        <f t="shared" ref="I38:I69" si="1">E38*F38*D38*H38*7.85/1000000</f>
        <v>1688.8176</v>
      </c>
      <c r="J38" s="13" t="s">
        <v>11</v>
      </c>
      <c r="K38" t="s">
        <v>84</v>
      </c>
    </row>
    <row r="39" ht="22.5" customHeight="1" spans="1:11">
      <c r="A39" s="5">
        <v>34</v>
      </c>
      <c r="B39" s="5" t="s">
        <v>31</v>
      </c>
      <c r="C39" s="6" t="s">
        <v>32</v>
      </c>
      <c r="D39" s="6">
        <v>16</v>
      </c>
      <c r="E39" s="20">
        <v>1800</v>
      </c>
      <c r="F39" s="6">
        <v>7760</v>
      </c>
      <c r="G39" s="8" t="s">
        <v>33</v>
      </c>
      <c r="H39" s="5">
        <v>1</v>
      </c>
      <c r="I39" s="9">
        <f t="shared" si="1"/>
        <v>1754.3808</v>
      </c>
      <c r="J39" s="13" t="s">
        <v>11</v>
      </c>
      <c r="K39" t="s">
        <v>84</v>
      </c>
    </row>
    <row r="40" ht="22.5" customHeight="1" spans="1:11">
      <c r="A40" s="5">
        <v>35</v>
      </c>
      <c r="B40" s="5" t="s">
        <v>31</v>
      </c>
      <c r="C40" s="6" t="s">
        <v>32</v>
      </c>
      <c r="D40" s="6">
        <v>16</v>
      </c>
      <c r="E40" s="20">
        <v>2000</v>
      </c>
      <c r="F40" s="6">
        <v>10330</v>
      </c>
      <c r="G40" s="8" t="s">
        <v>33</v>
      </c>
      <c r="H40" s="5">
        <v>1</v>
      </c>
      <c r="I40" s="9">
        <f t="shared" si="1"/>
        <v>2594.896</v>
      </c>
      <c r="J40" s="13" t="s">
        <v>11</v>
      </c>
      <c r="K40" t="s">
        <v>84</v>
      </c>
    </row>
    <row r="41" ht="22.5" customHeight="1" spans="1:11">
      <c r="A41" s="5">
        <v>36</v>
      </c>
      <c r="B41" s="5" t="s">
        <v>31</v>
      </c>
      <c r="C41" s="6" t="s">
        <v>32</v>
      </c>
      <c r="D41" s="6">
        <v>16</v>
      </c>
      <c r="E41" s="20">
        <v>2000</v>
      </c>
      <c r="F41" s="6">
        <v>11590</v>
      </c>
      <c r="G41" s="8" t="s">
        <v>33</v>
      </c>
      <c r="H41" s="5">
        <v>1</v>
      </c>
      <c r="I41" s="9">
        <f t="shared" si="1"/>
        <v>2911.408</v>
      </c>
      <c r="J41" s="13" t="s">
        <v>36</v>
      </c>
      <c r="K41" t="s">
        <v>84</v>
      </c>
    </row>
    <row r="42" ht="22.5" customHeight="1" spans="1:11">
      <c r="A42" s="5">
        <v>37</v>
      </c>
      <c r="B42" s="5" t="s">
        <v>31</v>
      </c>
      <c r="C42" s="6" t="s">
        <v>32</v>
      </c>
      <c r="D42" s="6">
        <v>16</v>
      </c>
      <c r="E42" s="20">
        <v>2000</v>
      </c>
      <c r="F42" s="6">
        <v>12080</v>
      </c>
      <c r="G42" s="8" t="s">
        <v>33</v>
      </c>
      <c r="H42" s="5">
        <v>1</v>
      </c>
      <c r="I42" s="9">
        <f t="shared" si="1"/>
        <v>3034.496</v>
      </c>
      <c r="J42" s="13" t="s">
        <v>36</v>
      </c>
      <c r="K42" t="s">
        <v>84</v>
      </c>
    </row>
    <row r="43" ht="22.5" customHeight="1" spans="1:11">
      <c r="A43" s="5">
        <v>38</v>
      </c>
      <c r="B43" s="5" t="s">
        <v>31</v>
      </c>
      <c r="C43" s="6" t="s">
        <v>32</v>
      </c>
      <c r="D43" s="6">
        <v>16</v>
      </c>
      <c r="E43" s="20">
        <v>2000</v>
      </c>
      <c r="F43" s="6">
        <v>10990</v>
      </c>
      <c r="G43" s="8" t="s">
        <v>33</v>
      </c>
      <c r="H43" s="5">
        <v>1</v>
      </c>
      <c r="I43" s="9">
        <f t="shared" si="1"/>
        <v>2760.688</v>
      </c>
      <c r="J43" s="13" t="s">
        <v>11</v>
      </c>
      <c r="K43" t="s">
        <v>84</v>
      </c>
    </row>
    <row r="44" ht="22.5" customHeight="1" spans="1:11">
      <c r="A44" s="5">
        <v>39</v>
      </c>
      <c r="B44" s="5" t="s">
        <v>31</v>
      </c>
      <c r="C44" s="6" t="s">
        <v>32</v>
      </c>
      <c r="D44" s="6">
        <v>16</v>
      </c>
      <c r="E44" s="20">
        <v>2000</v>
      </c>
      <c r="F44" s="6">
        <v>12760</v>
      </c>
      <c r="G44" s="8" t="s">
        <v>33</v>
      </c>
      <c r="H44" s="5">
        <v>1</v>
      </c>
      <c r="I44" s="9">
        <f t="shared" si="1"/>
        <v>3205.312</v>
      </c>
      <c r="J44" s="13" t="s">
        <v>36</v>
      </c>
      <c r="K44" t="s">
        <v>84</v>
      </c>
    </row>
    <row r="45" ht="22.5" customHeight="1" spans="1:11">
      <c r="A45" s="5">
        <v>40</v>
      </c>
      <c r="B45" s="5" t="s">
        <v>31</v>
      </c>
      <c r="C45" s="6" t="s">
        <v>32</v>
      </c>
      <c r="D45" s="6">
        <v>16</v>
      </c>
      <c r="E45" s="20">
        <v>2000</v>
      </c>
      <c r="F45" s="6">
        <v>7280</v>
      </c>
      <c r="G45" s="8" t="s">
        <v>33</v>
      </c>
      <c r="H45" s="5">
        <v>1</v>
      </c>
      <c r="I45" s="9">
        <f t="shared" si="1"/>
        <v>1828.736</v>
      </c>
      <c r="J45" s="13" t="s">
        <v>11</v>
      </c>
      <c r="K45" t="s">
        <v>84</v>
      </c>
    </row>
    <row r="46" ht="22.5" customHeight="1" spans="1:11">
      <c r="A46" s="5">
        <v>41</v>
      </c>
      <c r="B46" s="5" t="s">
        <v>31</v>
      </c>
      <c r="C46" s="6" t="s">
        <v>32</v>
      </c>
      <c r="D46" s="6">
        <v>16</v>
      </c>
      <c r="E46" s="20">
        <v>2000</v>
      </c>
      <c r="F46" s="6">
        <v>12140</v>
      </c>
      <c r="G46" s="8" t="s">
        <v>33</v>
      </c>
      <c r="H46" s="5">
        <v>1</v>
      </c>
      <c r="I46" s="9">
        <f t="shared" si="1"/>
        <v>3049.568</v>
      </c>
      <c r="J46" s="13" t="s">
        <v>36</v>
      </c>
      <c r="K46" t="s">
        <v>84</v>
      </c>
    </row>
    <row r="47" ht="22.5" customHeight="1" spans="1:11">
      <c r="A47" s="5">
        <v>42</v>
      </c>
      <c r="B47" s="5" t="s">
        <v>31</v>
      </c>
      <c r="C47" s="6" t="s">
        <v>32</v>
      </c>
      <c r="D47" s="6">
        <v>16</v>
      </c>
      <c r="E47" s="20">
        <v>2000</v>
      </c>
      <c r="F47" s="6">
        <v>7740</v>
      </c>
      <c r="G47" s="8" t="s">
        <v>33</v>
      </c>
      <c r="H47" s="5">
        <v>1</v>
      </c>
      <c r="I47" s="9">
        <f t="shared" si="1"/>
        <v>1944.288</v>
      </c>
      <c r="J47" s="13" t="s">
        <v>35</v>
      </c>
      <c r="K47" t="s">
        <v>84</v>
      </c>
    </row>
    <row r="48" ht="22.5" customHeight="1" spans="1:11">
      <c r="A48" s="5">
        <v>43</v>
      </c>
      <c r="B48" s="5" t="s">
        <v>31</v>
      </c>
      <c r="C48" s="6" t="s">
        <v>32</v>
      </c>
      <c r="D48" s="6">
        <v>16</v>
      </c>
      <c r="E48" s="20">
        <v>2000</v>
      </c>
      <c r="F48" s="6">
        <v>11500</v>
      </c>
      <c r="G48" s="8" t="s">
        <v>33</v>
      </c>
      <c r="H48" s="5">
        <v>1</v>
      </c>
      <c r="I48" s="9">
        <f t="shared" si="1"/>
        <v>2888.8</v>
      </c>
      <c r="J48" s="13" t="s">
        <v>11</v>
      </c>
      <c r="K48" t="s">
        <v>84</v>
      </c>
    </row>
    <row r="49" ht="22.5" customHeight="1" spans="1:11">
      <c r="A49" s="5">
        <v>44</v>
      </c>
      <c r="B49" s="5" t="s">
        <v>31</v>
      </c>
      <c r="C49" s="6" t="s">
        <v>32</v>
      </c>
      <c r="D49" s="6">
        <v>16</v>
      </c>
      <c r="E49" s="20">
        <v>2000</v>
      </c>
      <c r="F49" s="6">
        <f>(195920+1000)/4/5</f>
        <v>9846</v>
      </c>
      <c r="G49" s="8" t="s">
        <v>33</v>
      </c>
      <c r="H49" s="5">
        <v>5</v>
      </c>
      <c r="I49" s="9">
        <f t="shared" si="1"/>
        <v>12366.576</v>
      </c>
      <c r="J49" s="13" t="s">
        <v>19</v>
      </c>
      <c r="K49" t="s">
        <v>84</v>
      </c>
    </row>
    <row r="50" ht="22.5" customHeight="1" spans="1:11">
      <c r="A50" s="5">
        <v>45</v>
      </c>
      <c r="B50" s="5" t="s">
        <v>31</v>
      </c>
      <c r="C50" s="6" t="s">
        <v>32</v>
      </c>
      <c r="D50" s="6">
        <v>16</v>
      </c>
      <c r="E50" s="20">
        <v>2000</v>
      </c>
      <c r="F50" s="6">
        <v>12630</v>
      </c>
      <c r="G50" s="8" t="s">
        <v>33</v>
      </c>
      <c r="H50" s="5">
        <v>1</v>
      </c>
      <c r="I50" s="9">
        <f t="shared" si="1"/>
        <v>3172.656</v>
      </c>
      <c r="J50" s="13" t="s">
        <v>35</v>
      </c>
      <c r="K50" t="s">
        <v>84</v>
      </c>
    </row>
    <row r="51" ht="22.5" customHeight="1" spans="1:11">
      <c r="A51" s="5">
        <v>46</v>
      </c>
      <c r="B51" s="5" t="s">
        <v>31</v>
      </c>
      <c r="C51" s="6" t="s">
        <v>39</v>
      </c>
      <c r="D51" s="6">
        <v>16</v>
      </c>
      <c r="E51" s="20">
        <v>2000</v>
      </c>
      <c r="F51" s="6">
        <v>10200</v>
      </c>
      <c r="G51" s="8" t="s">
        <v>33</v>
      </c>
      <c r="H51" s="5">
        <v>1</v>
      </c>
      <c r="I51" s="9">
        <f t="shared" si="1"/>
        <v>2562.24</v>
      </c>
      <c r="J51" s="13" t="s">
        <v>38</v>
      </c>
      <c r="K51" t="s">
        <v>84</v>
      </c>
    </row>
    <row r="52" ht="22.5" customHeight="1" spans="1:11">
      <c r="A52" s="5">
        <v>47</v>
      </c>
      <c r="B52" s="5" t="s">
        <v>31</v>
      </c>
      <c r="C52" s="6" t="s">
        <v>32</v>
      </c>
      <c r="D52" s="6">
        <v>16</v>
      </c>
      <c r="E52" s="20">
        <v>2000</v>
      </c>
      <c r="F52" s="6">
        <v>9690</v>
      </c>
      <c r="G52" s="8" t="s">
        <v>33</v>
      </c>
      <c r="H52" s="5">
        <v>1</v>
      </c>
      <c r="I52" s="9">
        <f t="shared" si="1"/>
        <v>2434.128</v>
      </c>
      <c r="J52" s="13" t="s">
        <v>11</v>
      </c>
      <c r="K52" t="s">
        <v>84</v>
      </c>
    </row>
    <row r="53" ht="22.5" customHeight="1" spans="1:11">
      <c r="A53" s="5">
        <v>48</v>
      </c>
      <c r="B53" s="5" t="s">
        <v>31</v>
      </c>
      <c r="C53" s="6" t="s">
        <v>32</v>
      </c>
      <c r="D53" s="6">
        <v>16</v>
      </c>
      <c r="E53" s="20">
        <v>2000</v>
      </c>
      <c r="F53" s="6">
        <v>10620</v>
      </c>
      <c r="G53" s="8" t="s">
        <v>33</v>
      </c>
      <c r="H53" s="5">
        <v>1</v>
      </c>
      <c r="I53" s="9">
        <f t="shared" si="1"/>
        <v>2667.744</v>
      </c>
      <c r="J53" s="13" t="s">
        <v>11</v>
      </c>
      <c r="K53" t="s">
        <v>84</v>
      </c>
    </row>
    <row r="54" ht="22.5" customHeight="1" spans="1:11">
      <c r="A54" s="5">
        <v>49</v>
      </c>
      <c r="B54" s="5" t="s">
        <v>31</v>
      </c>
      <c r="C54" s="6" t="s">
        <v>32</v>
      </c>
      <c r="D54" s="6">
        <v>16</v>
      </c>
      <c r="E54" s="20">
        <v>2000</v>
      </c>
      <c r="F54" s="6">
        <v>11100</v>
      </c>
      <c r="G54" s="8" t="s">
        <v>33</v>
      </c>
      <c r="H54" s="5">
        <v>1</v>
      </c>
      <c r="I54" s="9">
        <f t="shared" si="1"/>
        <v>2788.32</v>
      </c>
      <c r="J54" s="13" t="s">
        <v>11</v>
      </c>
      <c r="K54" t="s">
        <v>84</v>
      </c>
    </row>
    <row r="55" ht="22.5" customHeight="1" spans="1:11">
      <c r="A55" s="5">
        <v>50</v>
      </c>
      <c r="B55" s="5" t="s">
        <v>31</v>
      </c>
      <c r="C55" s="6" t="s">
        <v>32</v>
      </c>
      <c r="D55" s="6">
        <v>16</v>
      </c>
      <c r="E55" s="20">
        <v>2000</v>
      </c>
      <c r="F55" s="6">
        <v>7420</v>
      </c>
      <c r="G55" s="8" t="s">
        <v>33</v>
      </c>
      <c r="H55" s="5">
        <v>1</v>
      </c>
      <c r="I55" s="9">
        <f t="shared" si="1"/>
        <v>1863.904</v>
      </c>
      <c r="J55" s="13" t="s">
        <v>11</v>
      </c>
      <c r="K55" t="s">
        <v>84</v>
      </c>
    </row>
    <row r="56" ht="22.5" customHeight="1" spans="1:11">
      <c r="A56" s="5">
        <v>51</v>
      </c>
      <c r="B56" s="5" t="s">
        <v>31</v>
      </c>
      <c r="C56" s="6" t="s">
        <v>32</v>
      </c>
      <c r="D56" s="6">
        <v>16</v>
      </c>
      <c r="E56" s="20">
        <v>2000</v>
      </c>
      <c r="F56" s="6">
        <v>7440</v>
      </c>
      <c r="G56" s="8" t="s">
        <v>33</v>
      </c>
      <c r="H56" s="5">
        <v>2</v>
      </c>
      <c r="I56" s="9">
        <f t="shared" si="1"/>
        <v>3737.856</v>
      </c>
      <c r="J56" s="13" t="s">
        <v>11</v>
      </c>
      <c r="K56" t="s">
        <v>84</v>
      </c>
    </row>
    <row r="57" ht="22.5" customHeight="1" spans="1:11">
      <c r="A57" s="5">
        <v>52</v>
      </c>
      <c r="B57" s="5" t="s">
        <v>31</v>
      </c>
      <c r="C57" s="6" t="s">
        <v>32</v>
      </c>
      <c r="D57" s="6">
        <v>16</v>
      </c>
      <c r="E57" s="20">
        <v>2000</v>
      </c>
      <c r="F57" s="6">
        <v>7770</v>
      </c>
      <c r="G57" s="8" t="s">
        <v>33</v>
      </c>
      <c r="H57" s="5">
        <v>1</v>
      </c>
      <c r="I57" s="9">
        <f t="shared" si="1"/>
        <v>1951.824</v>
      </c>
      <c r="J57" s="13" t="s">
        <v>11</v>
      </c>
      <c r="K57" t="s">
        <v>84</v>
      </c>
    </row>
    <row r="58" ht="22.5" customHeight="1" spans="1:11">
      <c r="A58" s="5">
        <v>53</v>
      </c>
      <c r="B58" s="5" t="s">
        <v>31</v>
      </c>
      <c r="C58" s="6" t="s">
        <v>32</v>
      </c>
      <c r="D58" s="6">
        <v>16</v>
      </c>
      <c r="E58" s="20">
        <v>2000</v>
      </c>
      <c r="F58" s="6">
        <v>9490</v>
      </c>
      <c r="G58" s="8" t="s">
        <v>33</v>
      </c>
      <c r="H58" s="5">
        <v>1</v>
      </c>
      <c r="I58" s="9">
        <f t="shared" si="1"/>
        <v>2383.888</v>
      </c>
      <c r="J58" s="13" t="s">
        <v>11</v>
      </c>
      <c r="K58" t="s">
        <v>84</v>
      </c>
    </row>
    <row r="59" ht="22.5" customHeight="1" spans="1:11">
      <c r="A59" s="5">
        <v>54</v>
      </c>
      <c r="B59" s="5" t="s">
        <v>31</v>
      </c>
      <c r="C59" s="6" t="s">
        <v>32</v>
      </c>
      <c r="D59" s="6">
        <v>16</v>
      </c>
      <c r="E59" s="20">
        <v>2000</v>
      </c>
      <c r="F59" s="6">
        <v>9700</v>
      </c>
      <c r="G59" s="8" t="s">
        <v>33</v>
      </c>
      <c r="H59" s="5">
        <v>1</v>
      </c>
      <c r="I59" s="9">
        <f t="shared" si="1"/>
        <v>2436.64</v>
      </c>
      <c r="J59" s="13" t="s">
        <v>11</v>
      </c>
      <c r="K59" t="s">
        <v>84</v>
      </c>
    </row>
    <row r="60" ht="22.5" customHeight="1" spans="1:11">
      <c r="A60" s="5">
        <v>55</v>
      </c>
      <c r="B60" s="5" t="s">
        <v>31</v>
      </c>
      <c r="C60" s="6" t="s">
        <v>32</v>
      </c>
      <c r="D60" s="6">
        <v>16</v>
      </c>
      <c r="E60" s="20">
        <v>2000</v>
      </c>
      <c r="F60" s="6">
        <v>10970</v>
      </c>
      <c r="G60" s="8" t="s">
        <v>33</v>
      </c>
      <c r="H60" s="5">
        <v>1</v>
      </c>
      <c r="I60" s="9">
        <f t="shared" si="1"/>
        <v>2755.664</v>
      </c>
      <c r="J60" s="13" t="s">
        <v>11</v>
      </c>
      <c r="K60" t="s">
        <v>84</v>
      </c>
    </row>
    <row r="61" ht="22.5" customHeight="1" spans="1:11">
      <c r="A61" s="5">
        <v>56</v>
      </c>
      <c r="B61" s="5" t="s">
        <v>31</v>
      </c>
      <c r="C61" s="6" t="s">
        <v>32</v>
      </c>
      <c r="D61" s="6">
        <v>16</v>
      </c>
      <c r="E61" s="20">
        <v>2000</v>
      </c>
      <c r="F61" s="6">
        <v>11220</v>
      </c>
      <c r="G61" s="8" t="s">
        <v>33</v>
      </c>
      <c r="H61" s="5">
        <v>1</v>
      </c>
      <c r="I61" s="9">
        <f t="shared" si="1"/>
        <v>2818.464</v>
      </c>
      <c r="J61" s="13" t="s">
        <v>11</v>
      </c>
      <c r="K61" t="s">
        <v>84</v>
      </c>
    </row>
    <row r="62" ht="22.5" customHeight="1" spans="1:11">
      <c r="A62" s="5">
        <v>57</v>
      </c>
      <c r="B62" s="5" t="s">
        <v>31</v>
      </c>
      <c r="C62" s="6" t="s">
        <v>32</v>
      </c>
      <c r="D62" s="6">
        <v>16</v>
      </c>
      <c r="E62" s="20">
        <v>2000</v>
      </c>
      <c r="F62" s="6">
        <v>8040</v>
      </c>
      <c r="G62" s="8" t="s">
        <v>33</v>
      </c>
      <c r="H62" s="5">
        <v>1</v>
      </c>
      <c r="I62" s="9">
        <f t="shared" si="1"/>
        <v>2019.648</v>
      </c>
      <c r="J62" s="13" t="s">
        <v>34</v>
      </c>
      <c r="K62" t="s">
        <v>84</v>
      </c>
    </row>
    <row r="63" ht="22.5" customHeight="1" spans="1:11">
      <c r="A63" s="5">
        <v>58</v>
      </c>
      <c r="B63" s="5" t="s">
        <v>31</v>
      </c>
      <c r="C63" s="6" t="s">
        <v>32</v>
      </c>
      <c r="D63" s="6">
        <v>16</v>
      </c>
      <c r="E63" s="20">
        <v>2000</v>
      </c>
      <c r="F63" s="6">
        <v>8060</v>
      </c>
      <c r="G63" s="8" t="s">
        <v>33</v>
      </c>
      <c r="H63" s="5">
        <v>1</v>
      </c>
      <c r="I63" s="9">
        <f t="shared" si="1"/>
        <v>2024.672</v>
      </c>
      <c r="J63" s="13" t="s">
        <v>34</v>
      </c>
      <c r="K63" t="s">
        <v>84</v>
      </c>
    </row>
    <row r="64" ht="22.5" customHeight="1" spans="1:12">
      <c r="A64" s="5">
        <v>59</v>
      </c>
      <c r="B64" s="5" t="s">
        <v>31</v>
      </c>
      <c r="C64" s="6" t="s">
        <v>32</v>
      </c>
      <c r="D64" s="6">
        <v>16</v>
      </c>
      <c r="E64" s="20">
        <v>2000</v>
      </c>
      <c r="F64" s="6">
        <v>10530</v>
      </c>
      <c r="G64" s="8" t="s">
        <v>33</v>
      </c>
      <c r="H64" s="5">
        <v>1</v>
      </c>
      <c r="I64" s="9">
        <f t="shared" si="1"/>
        <v>2645.136</v>
      </c>
      <c r="J64" s="13" t="s">
        <v>34</v>
      </c>
      <c r="K64" t="s">
        <v>84</v>
      </c>
      <c r="L64">
        <f>SUM(I9:I64)</f>
        <v>152265.18144</v>
      </c>
    </row>
    <row r="65" ht="22.5" customHeight="1" spans="1:10">
      <c r="A65" s="5" t="s">
        <v>40</v>
      </c>
      <c r="B65" s="5"/>
      <c r="C65" s="5"/>
      <c r="D65" s="5"/>
      <c r="E65" s="5"/>
      <c r="F65" s="5"/>
      <c r="G65" s="5"/>
      <c r="H65" s="5"/>
      <c r="I65" s="149">
        <f>SUM(I6:I64)</f>
        <v>161574.77904</v>
      </c>
      <c r="J65" s="13"/>
    </row>
    <row r="66" ht="22.5" customHeight="1" spans="1:10">
      <c r="A66" s="22" t="s">
        <v>41</v>
      </c>
      <c r="B66" s="22"/>
      <c r="C66" s="22"/>
      <c r="D66" s="22"/>
      <c r="E66" s="22"/>
      <c r="F66" s="22"/>
      <c r="G66" s="22"/>
      <c r="H66" s="22"/>
      <c r="I66" s="22"/>
      <c r="J66" s="22"/>
    </row>
    <row r="67" ht="22.5" customHeight="1" spans="1:10">
      <c r="A67" s="22" t="s">
        <v>85</v>
      </c>
      <c r="B67" s="22"/>
      <c r="C67" s="22"/>
      <c r="D67" s="22"/>
      <c r="E67" s="22"/>
      <c r="F67" s="22"/>
      <c r="G67" s="22"/>
      <c r="H67" s="22"/>
      <c r="I67" s="22"/>
      <c r="J67" s="22"/>
    </row>
    <row r="68" ht="30" customHeight="1" spans="1:10">
      <c r="A68" s="16" t="s">
        <v>74</v>
      </c>
      <c r="B68" s="17"/>
      <c r="C68" s="17"/>
      <c r="D68" s="17"/>
      <c r="E68" s="17"/>
      <c r="F68" s="17"/>
      <c r="G68" s="17"/>
      <c r="H68" s="17"/>
      <c r="I68" s="17"/>
      <c r="J68" s="17"/>
    </row>
  </sheetData>
  <autoFilter ref="A5:J68">
    <extLst/>
  </autoFilter>
  <mergeCells count="7">
    <mergeCell ref="A1:J1"/>
    <mergeCell ref="A2:J2"/>
    <mergeCell ref="A3:F3"/>
    <mergeCell ref="A65:H65"/>
    <mergeCell ref="A66:J66"/>
    <mergeCell ref="A67:J67"/>
    <mergeCell ref="A68:J68"/>
  </mergeCells>
  <pageMargins left="0.751388888888889" right="0.751388888888889" top="1" bottom="1" header="0.5" footer="0.5"/>
  <pageSetup paperSize="9" scale="61" fitToHeight="0" orientation="portrait"/>
  <headerFooter>
    <oddFooter>&amp;C第 &amp;P 页，共 &amp;N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pageSetUpPr fitToPage="1"/>
  </sheetPr>
  <dimension ref="A1:L53"/>
  <sheetViews>
    <sheetView workbookViewId="0">
      <selection activeCell="L24" sqref="L24"/>
    </sheetView>
  </sheetViews>
  <sheetFormatPr defaultColWidth="9" defaultRowHeight="13.5"/>
  <cols>
    <col min="1" max="2" width="8.625" customWidth="1"/>
    <col min="3" max="3" width="10.375" customWidth="1"/>
    <col min="4" max="6" width="11" customWidth="1"/>
    <col min="7" max="8" width="8.625" customWidth="1"/>
    <col min="9" max="9" width="12.875" style="147" customWidth="1"/>
    <col min="10" max="10" width="11.625" customWidth="1"/>
    <col min="11" max="11" width="10" customWidth="1"/>
    <col min="12" max="12" width="11.5"/>
  </cols>
  <sheetData>
    <row r="1" ht="28.5" customHeight="1" spans="1:10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</row>
    <row r="2" ht="28.5" customHeight="1" spans="1:10">
      <c r="A2" s="15" t="s">
        <v>20</v>
      </c>
      <c r="B2" s="15"/>
      <c r="C2" s="15"/>
      <c r="D2" s="15"/>
      <c r="E2" s="15"/>
      <c r="F2" s="15"/>
      <c r="G2" s="15"/>
      <c r="H2" s="15"/>
      <c r="I2" s="15"/>
      <c r="J2" s="15"/>
    </row>
    <row r="3" ht="22.5" customHeight="1" spans="1:10">
      <c r="A3" s="16" t="s">
        <v>21</v>
      </c>
      <c r="B3" s="17"/>
      <c r="C3" s="17"/>
      <c r="D3" s="17"/>
      <c r="E3" s="17"/>
      <c r="F3" s="17"/>
      <c r="G3" s="17"/>
      <c r="H3" s="17"/>
      <c r="I3" s="44"/>
      <c r="J3" s="26"/>
    </row>
    <row r="4" ht="22.5" customHeight="1" spans="1:10">
      <c r="A4" s="18" t="s">
        <v>48</v>
      </c>
      <c r="B4" s="19"/>
      <c r="C4" s="19"/>
      <c r="D4" s="17"/>
      <c r="E4" s="19"/>
      <c r="F4" s="19"/>
      <c r="G4" s="17"/>
      <c r="H4" s="17"/>
      <c r="I4" s="45"/>
      <c r="J4" s="26"/>
    </row>
    <row r="5" ht="22.5" customHeight="1" spans="1:10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4" t="s">
        <v>29</v>
      </c>
      <c r="J5" s="11" t="s">
        <v>30</v>
      </c>
    </row>
    <row r="6" ht="22.5" customHeight="1" spans="1:12">
      <c r="A6" s="5">
        <v>1</v>
      </c>
      <c r="B6" s="5" t="s">
        <v>31</v>
      </c>
      <c r="C6" s="6" t="s">
        <v>32</v>
      </c>
      <c r="D6" s="6">
        <v>12</v>
      </c>
      <c r="E6" s="49">
        <v>1800</v>
      </c>
      <c r="F6" s="6">
        <v>11450</v>
      </c>
      <c r="G6" s="8" t="s">
        <v>33</v>
      </c>
      <c r="H6" s="5">
        <v>1</v>
      </c>
      <c r="I6" s="9">
        <f t="shared" ref="I6:I49" si="0">E6*H6*F6*D6*7.85/1000000</f>
        <v>1941.462</v>
      </c>
      <c r="J6" s="13" t="s">
        <v>17</v>
      </c>
      <c r="K6" s="33" t="s">
        <v>86</v>
      </c>
      <c r="L6" s="33">
        <v>1</v>
      </c>
    </row>
    <row r="7" ht="22.5" customHeight="1" spans="1:12">
      <c r="A7" s="5">
        <v>2</v>
      </c>
      <c r="B7" s="5" t="s">
        <v>31</v>
      </c>
      <c r="C7" s="6" t="s">
        <v>32</v>
      </c>
      <c r="D7" s="6">
        <v>12</v>
      </c>
      <c r="E7" s="49">
        <v>2000</v>
      </c>
      <c r="F7" s="6">
        <v>10030</v>
      </c>
      <c r="G7" s="8" t="s">
        <v>33</v>
      </c>
      <c r="H7" s="5">
        <v>1</v>
      </c>
      <c r="I7" s="9">
        <f t="shared" si="0"/>
        <v>1889.652</v>
      </c>
      <c r="J7" s="13" t="s">
        <v>16</v>
      </c>
      <c r="K7" s="33" t="s">
        <v>87</v>
      </c>
      <c r="L7" s="33">
        <v>1</v>
      </c>
    </row>
    <row r="8" ht="22.5" customHeight="1" spans="1:12">
      <c r="A8" s="5">
        <v>3</v>
      </c>
      <c r="B8" s="5" t="s">
        <v>31</v>
      </c>
      <c r="C8" s="6" t="s">
        <v>32</v>
      </c>
      <c r="D8" s="6">
        <v>12</v>
      </c>
      <c r="E8" s="49">
        <v>2000</v>
      </c>
      <c r="F8" s="6">
        <v>8540</v>
      </c>
      <c r="G8" s="8" t="s">
        <v>33</v>
      </c>
      <c r="H8" s="5">
        <v>1</v>
      </c>
      <c r="I8" s="9">
        <f t="shared" si="0"/>
        <v>1608.936</v>
      </c>
      <c r="J8" s="13" t="s">
        <v>15</v>
      </c>
      <c r="K8" s="33" t="s">
        <v>88</v>
      </c>
      <c r="L8" s="33">
        <v>1</v>
      </c>
    </row>
    <row r="9" ht="22.5" customHeight="1" spans="1:11">
      <c r="A9" s="5">
        <v>4</v>
      </c>
      <c r="B9" s="5" t="s">
        <v>31</v>
      </c>
      <c r="C9" s="6" t="s">
        <v>32</v>
      </c>
      <c r="D9" s="6">
        <v>16</v>
      </c>
      <c r="E9" s="49">
        <v>1500</v>
      </c>
      <c r="F9" s="6">
        <v>6070</v>
      </c>
      <c r="G9" s="8" t="s">
        <v>33</v>
      </c>
      <c r="H9" s="5">
        <v>1</v>
      </c>
      <c r="I9" s="9">
        <f t="shared" si="0"/>
        <v>1143.588</v>
      </c>
      <c r="J9" s="13" t="s">
        <v>34</v>
      </c>
      <c r="K9" t="s">
        <v>89</v>
      </c>
    </row>
    <row r="10" ht="22.5" customHeight="1" spans="1:11">
      <c r="A10" s="5">
        <v>5</v>
      </c>
      <c r="B10" s="5" t="s">
        <v>31</v>
      </c>
      <c r="C10" s="6" t="s">
        <v>32</v>
      </c>
      <c r="D10" s="6">
        <v>16</v>
      </c>
      <c r="E10" s="49">
        <v>1500</v>
      </c>
      <c r="F10" s="6">
        <v>8030</v>
      </c>
      <c r="G10" s="8" t="s">
        <v>33</v>
      </c>
      <c r="H10" s="5">
        <v>3</v>
      </c>
      <c r="I10" s="9">
        <f t="shared" si="0"/>
        <v>4538.556</v>
      </c>
      <c r="J10" s="13" t="s">
        <v>34</v>
      </c>
      <c r="K10" t="s">
        <v>89</v>
      </c>
    </row>
    <row r="11" ht="22.5" customHeight="1" spans="1:11">
      <c r="A11" s="5">
        <v>6</v>
      </c>
      <c r="B11" s="5" t="s">
        <v>31</v>
      </c>
      <c r="C11" s="6" t="s">
        <v>32</v>
      </c>
      <c r="D11" s="6">
        <v>16</v>
      </c>
      <c r="E11" s="49">
        <v>1500</v>
      </c>
      <c r="F11" s="6">
        <v>10020</v>
      </c>
      <c r="G11" s="8" t="s">
        <v>33</v>
      </c>
      <c r="H11" s="5">
        <v>1</v>
      </c>
      <c r="I11" s="9">
        <f t="shared" si="0"/>
        <v>1887.768</v>
      </c>
      <c r="J11" s="13" t="s">
        <v>34</v>
      </c>
      <c r="K11" t="s">
        <v>89</v>
      </c>
    </row>
    <row r="12" ht="22.5" customHeight="1" spans="1:11">
      <c r="A12" s="5">
        <v>7</v>
      </c>
      <c r="B12" s="5" t="s">
        <v>31</v>
      </c>
      <c r="C12" s="6" t="s">
        <v>32</v>
      </c>
      <c r="D12" s="6">
        <v>16</v>
      </c>
      <c r="E12" s="49">
        <v>1800</v>
      </c>
      <c r="F12" s="6">
        <v>7150</v>
      </c>
      <c r="G12" s="8" t="s">
        <v>33</v>
      </c>
      <c r="H12" s="5">
        <v>1</v>
      </c>
      <c r="I12" s="9">
        <f t="shared" si="0"/>
        <v>1616.472</v>
      </c>
      <c r="J12" s="13" t="s">
        <v>35</v>
      </c>
      <c r="K12" t="s">
        <v>89</v>
      </c>
    </row>
    <row r="13" ht="22.5" customHeight="1" spans="1:11">
      <c r="A13" s="5">
        <v>8</v>
      </c>
      <c r="B13" s="5" t="s">
        <v>31</v>
      </c>
      <c r="C13" s="6" t="s">
        <v>32</v>
      </c>
      <c r="D13" s="6">
        <v>16</v>
      </c>
      <c r="E13" s="49">
        <v>1800</v>
      </c>
      <c r="F13" s="6">
        <v>7630</v>
      </c>
      <c r="G13" s="8" t="s">
        <v>33</v>
      </c>
      <c r="H13" s="5">
        <v>1</v>
      </c>
      <c r="I13" s="9">
        <f t="shared" si="0"/>
        <v>1724.9904</v>
      </c>
      <c r="J13" s="13" t="s">
        <v>36</v>
      </c>
      <c r="K13" t="s">
        <v>89</v>
      </c>
    </row>
    <row r="14" ht="22.5" customHeight="1" spans="1:11">
      <c r="A14" s="5">
        <v>9</v>
      </c>
      <c r="B14" s="5" t="s">
        <v>31</v>
      </c>
      <c r="C14" s="6" t="s">
        <v>32</v>
      </c>
      <c r="D14" s="6">
        <v>16</v>
      </c>
      <c r="E14" s="49">
        <v>1800</v>
      </c>
      <c r="F14" s="6">
        <v>8030</v>
      </c>
      <c r="G14" s="8" t="s">
        <v>33</v>
      </c>
      <c r="H14" s="5">
        <v>2</v>
      </c>
      <c r="I14" s="9">
        <f t="shared" si="0"/>
        <v>3630.8448</v>
      </c>
      <c r="J14" s="13" t="s">
        <v>36</v>
      </c>
      <c r="K14" t="s">
        <v>89</v>
      </c>
    </row>
    <row r="15" ht="22.5" customHeight="1" spans="1:11">
      <c r="A15" s="5">
        <v>10</v>
      </c>
      <c r="B15" s="5" t="s">
        <v>31</v>
      </c>
      <c r="C15" s="6" t="s">
        <v>32</v>
      </c>
      <c r="D15" s="6">
        <v>16</v>
      </c>
      <c r="E15" s="49">
        <v>1800</v>
      </c>
      <c r="F15" s="6">
        <v>10020</v>
      </c>
      <c r="G15" s="8" t="s">
        <v>33</v>
      </c>
      <c r="H15" s="5">
        <v>1</v>
      </c>
      <c r="I15" s="9">
        <f t="shared" si="0"/>
        <v>2265.3216</v>
      </c>
      <c r="J15" s="13" t="s">
        <v>36</v>
      </c>
      <c r="K15" t="s">
        <v>89</v>
      </c>
    </row>
    <row r="16" ht="22.5" customHeight="1" spans="1:11">
      <c r="A16" s="5">
        <v>11</v>
      </c>
      <c r="B16" s="5" t="s">
        <v>31</v>
      </c>
      <c r="C16" s="6" t="s">
        <v>32</v>
      </c>
      <c r="D16" s="6">
        <v>16</v>
      </c>
      <c r="E16" s="49">
        <v>1800</v>
      </c>
      <c r="F16" s="6">
        <v>7690</v>
      </c>
      <c r="G16" s="8" t="s">
        <v>33</v>
      </c>
      <c r="H16" s="5">
        <v>1</v>
      </c>
      <c r="I16" s="9">
        <f t="shared" si="0"/>
        <v>1738.5552</v>
      </c>
      <c r="J16" s="13" t="s">
        <v>36</v>
      </c>
      <c r="K16" t="s">
        <v>89</v>
      </c>
    </row>
    <row r="17" ht="22.5" customHeight="1" spans="1:11">
      <c r="A17" s="5">
        <v>12</v>
      </c>
      <c r="B17" s="5" t="s">
        <v>31</v>
      </c>
      <c r="C17" s="6" t="s">
        <v>32</v>
      </c>
      <c r="D17" s="6">
        <v>16</v>
      </c>
      <c r="E17" s="49">
        <v>1800</v>
      </c>
      <c r="F17" s="50">
        <f>(293440+2000)/5/6</f>
        <v>9848</v>
      </c>
      <c r="G17" s="8" t="s">
        <v>33</v>
      </c>
      <c r="H17" s="5">
        <v>6</v>
      </c>
      <c r="I17" s="9">
        <f t="shared" si="0"/>
        <v>13358.61504</v>
      </c>
      <c r="J17" s="13" t="s">
        <v>14</v>
      </c>
      <c r="K17" t="s">
        <v>89</v>
      </c>
    </row>
    <row r="18" ht="22.5" customHeight="1" spans="1:11">
      <c r="A18" s="5">
        <v>13</v>
      </c>
      <c r="B18" s="5" t="s">
        <v>31</v>
      </c>
      <c r="C18" s="6" t="s">
        <v>32</v>
      </c>
      <c r="D18" s="6">
        <v>16</v>
      </c>
      <c r="E18" s="49">
        <v>1800</v>
      </c>
      <c r="F18" s="6">
        <v>8000</v>
      </c>
      <c r="G18" s="8" t="s">
        <v>33</v>
      </c>
      <c r="H18" s="5">
        <v>1</v>
      </c>
      <c r="I18" s="9">
        <f t="shared" si="0"/>
        <v>1808.64</v>
      </c>
      <c r="J18" s="13" t="s">
        <v>35</v>
      </c>
      <c r="K18" t="s">
        <v>89</v>
      </c>
    </row>
    <row r="19" ht="22.5" customHeight="1" spans="1:11">
      <c r="A19" s="5">
        <v>14</v>
      </c>
      <c r="B19" s="5" t="s">
        <v>31</v>
      </c>
      <c r="C19" s="6" t="s">
        <v>32</v>
      </c>
      <c r="D19" s="6">
        <v>16</v>
      </c>
      <c r="E19" s="49">
        <v>1800</v>
      </c>
      <c r="F19" s="6">
        <v>7430</v>
      </c>
      <c r="G19" s="8" t="s">
        <v>33</v>
      </c>
      <c r="H19" s="5">
        <v>1</v>
      </c>
      <c r="I19" s="9">
        <f t="shared" si="0"/>
        <v>1679.7744</v>
      </c>
      <c r="J19" s="13" t="s">
        <v>35</v>
      </c>
      <c r="K19" t="s">
        <v>89</v>
      </c>
    </row>
    <row r="20" ht="22.5" customHeight="1" spans="1:11">
      <c r="A20" s="5">
        <v>15</v>
      </c>
      <c r="B20" s="5" t="s">
        <v>31</v>
      </c>
      <c r="C20" s="6" t="s">
        <v>32</v>
      </c>
      <c r="D20" s="6">
        <v>16</v>
      </c>
      <c r="E20" s="49">
        <v>1800</v>
      </c>
      <c r="F20" s="6">
        <v>8270</v>
      </c>
      <c r="G20" s="8" t="s">
        <v>33</v>
      </c>
      <c r="H20" s="5">
        <v>1</v>
      </c>
      <c r="I20" s="9">
        <f t="shared" si="0"/>
        <v>1869.6816</v>
      </c>
      <c r="J20" s="13" t="s">
        <v>34</v>
      </c>
      <c r="K20" t="s">
        <v>89</v>
      </c>
    </row>
    <row r="21" ht="22.5" customHeight="1" spans="1:11">
      <c r="A21" s="5">
        <v>16</v>
      </c>
      <c r="B21" s="5" t="s">
        <v>31</v>
      </c>
      <c r="C21" s="6" t="s">
        <v>32</v>
      </c>
      <c r="D21" s="6">
        <v>16</v>
      </c>
      <c r="E21" s="49">
        <v>1800</v>
      </c>
      <c r="F21" s="6">
        <v>9720</v>
      </c>
      <c r="G21" s="8" t="s">
        <v>33</v>
      </c>
      <c r="H21" s="5">
        <v>1</v>
      </c>
      <c r="I21" s="9">
        <f t="shared" si="0"/>
        <v>2197.4976</v>
      </c>
      <c r="J21" s="13" t="s">
        <v>35</v>
      </c>
      <c r="K21" t="s">
        <v>89</v>
      </c>
    </row>
    <row r="22" ht="22.5" customHeight="1" spans="1:11">
      <c r="A22" s="5">
        <v>17</v>
      </c>
      <c r="B22" s="5" t="s">
        <v>31</v>
      </c>
      <c r="C22" s="6" t="s">
        <v>32</v>
      </c>
      <c r="D22" s="6">
        <v>16</v>
      </c>
      <c r="E22" s="49">
        <v>1800</v>
      </c>
      <c r="F22" s="6">
        <v>7550</v>
      </c>
      <c r="G22" s="8" t="s">
        <v>33</v>
      </c>
      <c r="H22" s="5">
        <v>1</v>
      </c>
      <c r="I22" s="9">
        <f t="shared" si="0"/>
        <v>1706.904</v>
      </c>
      <c r="J22" s="13" t="s">
        <v>34</v>
      </c>
      <c r="K22" t="s">
        <v>89</v>
      </c>
    </row>
    <row r="23" ht="22.5" customHeight="1" spans="1:11">
      <c r="A23" s="5">
        <v>18</v>
      </c>
      <c r="B23" s="5" t="s">
        <v>31</v>
      </c>
      <c r="C23" s="6" t="s">
        <v>37</v>
      </c>
      <c r="D23" s="6">
        <v>16</v>
      </c>
      <c r="E23" s="49">
        <v>1800</v>
      </c>
      <c r="F23" s="6">
        <v>7570</v>
      </c>
      <c r="G23" s="8" t="s">
        <v>33</v>
      </c>
      <c r="H23" s="5">
        <v>1</v>
      </c>
      <c r="I23" s="9">
        <f t="shared" si="0"/>
        <v>1711.4256</v>
      </c>
      <c r="J23" s="13" t="s">
        <v>38</v>
      </c>
      <c r="K23" t="s">
        <v>89</v>
      </c>
    </row>
    <row r="24" ht="22.5" customHeight="1" spans="1:11">
      <c r="A24" s="5">
        <v>19</v>
      </c>
      <c r="B24" s="5" t="s">
        <v>31</v>
      </c>
      <c r="C24" s="6" t="s">
        <v>32</v>
      </c>
      <c r="D24" s="6">
        <v>16</v>
      </c>
      <c r="E24" s="49">
        <v>1800</v>
      </c>
      <c r="F24" s="6">
        <v>8150</v>
      </c>
      <c r="G24" s="8" t="s">
        <v>33</v>
      </c>
      <c r="H24" s="5">
        <v>1</v>
      </c>
      <c r="I24" s="9">
        <f t="shared" si="0"/>
        <v>1842.552</v>
      </c>
      <c r="J24" s="13" t="s">
        <v>34</v>
      </c>
      <c r="K24" t="s">
        <v>89</v>
      </c>
    </row>
    <row r="25" ht="22.5" customHeight="1" spans="1:11">
      <c r="A25" s="5">
        <v>20</v>
      </c>
      <c r="B25" s="5" t="s">
        <v>31</v>
      </c>
      <c r="C25" s="6" t="s">
        <v>32</v>
      </c>
      <c r="D25" s="6">
        <v>16</v>
      </c>
      <c r="E25" s="49">
        <v>1800</v>
      </c>
      <c r="F25" s="6">
        <v>8200</v>
      </c>
      <c r="G25" s="8" t="s">
        <v>33</v>
      </c>
      <c r="H25" s="5">
        <v>1</v>
      </c>
      <c r="I25" s="9">
        <f t="shared" si="0"/>
        <v>1853.856</v>
      </c>
      <c r="J25" s="13" t="s">
        <v>34</v>
      </c>
      <c r="K25" t="s">
        <v>89</v>
      </c>
    </row>
    <row r="26" ht="22.5" customHeight="1" spans="1:11">
      <c r="A26" s="5">
        <v>21</v>
      </c>
      <c r="B26" s="5" t="s">
        <v>31</v>
      </c>
      <c r="C26" s="6" t="s">
        <v>32</v>
      </c>
      <c r="D26" s="6">
        <v>16</v>
      </c>
      <c r="E26" s="49">
        <v>1800</v>
      </c>
      <c r="F26" s="6">
        <v>7430</v>
      </c>
      <c r="G26" s="8" t="s">
        <v>33</v>
      </c>
      <c r="H26" s="5">
        <v>3</v>
      </c>
      <c r="I26" s="9">
        <f t="shared" si="0"/>
        <v>5039.3232</v>
      </c>
      <c r="J26" s="13" t="s">
        <v>11</v>
      </c>
      <c r="K26" t="s">
        <v>89</v>
      </c>
    </row>
    <row r="27" ht="22.5" customHeight="1" spans="1:11">
      <c r="A27" s="5">
        <v>22</v>
      </c>
      <c r="B27" s="5" t="s">
        <v>31</v>
      </c>
      <c r="C27" s="6" t="s">
        <v>32</v>
      </c>
      <c r="D27" s="6">
        <v>16</v>
      </c>
      <c r="E27" s="49">
        <v>1800</v>
      </c>
      <c r="F27" s="6">
        <v>9720</v>
      </c>
      <c r="G27" s="8" t="s">
        <v>33</v>
      </c>
      <c r="H27" s="5">
        <v>1</v>
      </c>
      <c r="I27" s="9">
        <f t="shared" si="0"/>
        <v>2197.4976</v>
      </c>
      <c r="J27" s="13" t="s">
        <v>11</v>
      </c>
      <c r="K27" t="s">
        <v>89</v>
      </c>
    </row>
    <row r="28" ht="22.5" customHeight="1" spans="1:11">
      <c r="A28" s="5">
        <v>23</v>
      </c>
      <c r="B28" s="5" t="s">
        <v>31</v>
      </c>
      <c r="C28" s="6" t="s">
        <v>32</v>
      </c>
      <c r="D28" s="6">
        <v>16</v>
      </c>
      <c r="E28" s="49">
        <v>2000</v>
      </c>
      <c r="F28" s="6">
        <v>7490</v>
      </c>
      <c r="G28" s="8" t="s">
        <v>33</v>
      </c>
      <c r="H28" s="5">
        <v>1</v>
      </c>
      <c r="I28" s="9">
        <f t="shared" si="0"/>
        <v>1881.488</v>
      </c>
      <c r="J28" s="13" t="s">
        <v>11</v>
      </c>
      <c r="K28" t="s">
        <v>89</v>
      </c>
    </row>
    <row r="29" ht="22.5" customHeight="1" spans="1:11">
      <c r="A29" s="5">
        <v>24</v>
      </c>
      <c r="B29" s="5" t="s">
        <v>31</v>
      </c>
      <c r="C29" s="6" t="s">
        <v>32</v>
      </c>
      <c r="D29" s="6">
        <v>16</v>
      </c>
      <c r="E29" s="49">
        <v>2000</v>
      </c>
      <c r="F29" s="6">
        <v>8000</v>
      </c>
      <c r="G29" s="8" t="s">
        <v>33</v>
      </c>
      <c r="H29" s="5">
        <v>1</v>
      </c>
      <c r="I29" s="9">
        <f t="shared" si="0"/>
        <v>2009.6</v>
      </c>
      <c r="J29" s="13" t="s">
        <v>34</v>
      </c>
      <c r="K29" t="s">
        <v>89</v>
      </c>
    </row>
    <row r="30" ht="22.5" customHeight="1" spans="1:11">
      <c r="A30" s="5">
        <v>25</v>
      </c>
      <c r="B30" s="5" t="s">
        <v>31</v>
      </c>
      <c r="C30" s="6" t="s">
        <v>32</v>
      </c>
      <c r="D30" s="6">
        <v>16</v>
      </c>
      <c r="E30" s="49">
        <v>2000</v>
      </c>
      <c r="F30" s="6">
        <v>7630</v>
      </c>
      <c r="G30" s="8" t="s">
        <v>33</v>
      </c>
      <c r="H30" s="5">
        <v>1</v>
      </c>
      <c r="I30" s="9">
        <f t="shared" si="0"/>
        <v>1916.656</v>
      </c>
      <c r="J30" s="13" t="s">
        <v>36</v>
      </c>
      <c r="K30" t="s">
        <v>89</v>
      </c>
    </row>
    <row r="31" ht="22.5" customHeight="1" spans="1:11">
      <c r="A31" s="5">
        <v>26</v>
      </c>
      <c r="B31" s="5" t="s">
        <v>31</v>
      </c>
      <c r="C31" s="6" t="s">
        <v>32</v>
      </c>
      <c r="D31" s="6">
        <v>16</v>
      </c>
      <c r="E31" s="49">
        <v>2000</v>
      </c>
      <c r="F31" s="6">
        <v>7270</v>
      </c>
      <c r="G31" s="8" t="s">
        <v>33</v>
      </c>
      <c r="H31" s="5">
        <v>1</v>
      </c>
      <c r="I31" s="9">
        <f t="shared" si="0"/>
        <v>1826.224</v>
      </c>
      <c r="J31" s="13" t="s">
        <v>36</v>
      </c>
      <c r="K31" t="s">
        <v>89</v>
      </c>
    </row>
    <row r="32" ht="22.5" customHeight="1" spans="1:11">
      <c r="A32" s="5">
        <v>27</v>
      </c>
      <c r="B32" s="5" t="s">
        <v>31</v>
      </c>
      <c r="C32" s="6" t="s">
        <v>32</v>
      </c>
      <c r="D32" s="6">
        <v>16</v>
      </c>
      <c r="E32" s="49">
        <v>2000</v>
      </c>
      <c r="F32" s="6">
        <v>7990</v>
      </c>
      <c r="G32" s="8" t="s">
        <v>33</v>
      </c>
      <c r="H32" s="5">
        <v>1</v>
      </c>
      <c r="I32" s="9">
        <f t="shared" si="0"/>
        <v>2007.088</v>
      </c>
      <c r="J32" s="13" t="s">
        <v>36</v>
      </c>
      <c r="K32" t="s">
        <v>89</v>
      </c>
    </row>
    <row r="33" ht="22.5" customHeight="1" spans="1:11">
      <c r="A33" s="5">
        <v>28</v>
      </c>
      <c r="B33" s="5" t="s">
        <v>31</v>
      </c>
      <c r="C33" s="6" t="s">
        <v>32</v>
      </c>
      <c r="D33" s="6">
        <v>16</v>
      </c>
      <c r="E33" s="49">
        <v>2000</v>
      </c>
      <c r="F33" s="6">
        <v>7690</v>
      </c>
      <c r="G33" s="8" t="s">
        <v>33</v>
      </c>
      <c r="H33" s="5">
        <v>1</v>
      </c>
      <c r="I33" s="9">
        <f t="shared" si="0"/>
        <v>1931.728</v>
      </c>
      <c r="J33" s="13" t="s">
        <v>11</v>
      </c>
      <c r="K33" t="s">
        <v>89</v>
      </c>
    </row>
    <row r="34" ht="22.5" customHeight="1" spans="1:11">
      <c r="A34" s="5">
        <v>29</v>
      </c>
      <c r="B34" s="5" t="s">
        <v>31</v>
      </c>
      <c r="C34" s="6" t="s">
        <v>32</v>
      </c>
      <c r="D34" s="6">
        <v>16</v>
      </c>
      <c r="E34" s="49">
        <v>2000</v>
      </c>
      <c r="F34" s="6">
        <v>9240</v>
      </c>
      <c r="G34" s="8" t="s">
        <v>33</v>
      </c>
      <c r="H34" s="5">
        <v>4</v>
      </c>
      <c r="I34" s="9">
        <f t="shared" si="0"/>
        <v>9284.352</v>
      </c>
      <c r="J34" s="13" t="s">
        <v>19</v>
      </c>
      <c r="K34" t="s">
        <v>89</v>
      </c>
    </row>
    <row r="35" ht="22.5" customHeight="1" spans="1:11">
      <c r="A35" s="5">
        <v>30</v>
      </c>
      <c r="B35" s="5" t="s">
        <v>31</v>
      </c>
      <c r="C35" s="6" t="s">
        <v>32</v>
      </c>
      <c r="D35" s="6">
        <v>16</v>
      </c>
      <c r="E35" s="49">
        <v>2000</v>
      </c>
      <c r="F35" s="6">
        <v>10020</v>
      </c>
      <c r="G35" s="8" t="s">
        <v>33</v>
      </c>
      <c r="H35" s="5">
        <v>1</v>
      </c>
      <c r="I35" s="9">
        <f t="shared" si="0"/>
        <v>2517.024</v>
      </c>
      <c r="J35" s="13" t="s">
        <v>34</v>
      </c>
      <c r="K35" t="s">
        <v>89</v>
      </c>
    </row>
    <row r="36" ht="22.5" customHeight="1" spans="1:11">
      <c r="A36" s="5">
        <v>31</v>
      </c>
      <c r="B36" s="5" t="s">
        <v>31</v>
      </c>
      <c r="C36" s="6" t="s">
        <v>32</v>
      </c>
      <c r="D36" s="6">
        <v>16</v>
      </c>
      <c r="E36" s="49">
        <v>2000</v>
      </c>
      <c r="F36" s="6">
        <v>11710</v>
      </c>
      <c r="G36" s="8" t="s">
        <v>33</v>
      </c>
      <c r="H36" s="5">
        <v>1</v>
      </c>
      <c r="I36" s="9">
        <f t="shared" si="0"/>
        <v>2941.552</v>
      </c>
      <c r="J36" s="13" t="s">
        <v>11</v>
      </c>
      <c r="K36" t="s">
        <v>89</v>
      </c>
    </row>
    <row r="37" ht="22.5" customHeight="1" spans="1:11">
      <c r="A37" s="5">
        <v>32</v>
      </c>
      <c r="B37" s="5" t="s">
        <v>31</v>
      </c>
      <c r="C37" s="6" t="s">
        <v>32</v>
      </c>
      <c r="D37" s="6">
        <v>16</v>
      </c>
      <c r="E37" s="49">
        <v>2000</v>
      </c>
      <c r="F37" s="6">
        <v>7670</v>
      </c>
      <c r="G37" s="8" t="s">
        <v>33</v>
      </c>
      <c r="H37" s="5">
        <v>1</v>
      </c>
      <c r="I37" s="9">
        <f t="shared" si="0"/>
        <v>1926.704</v>
      </c>
      <c r="J37" s="13" t="s">
        <v>36</v>
      </c>
      <c r="K37" t="s">
        <v>89</v>
      </c>
    </row>
    <row r="38" ht="22.5" customHeight="1" spans="1:11">
      <c r="A38" s="5">
        <v>33</v>
      </c>
      <c r="B38" s="5" t="s">
        <v>31</v>
      </c>
      <c r="C38" s="6" t="s">
        <v>32</v>
      </c>
      <c r="D38" s="6">
        <v>16</v>
      </c>
      <c r="E38" s="49">
        <v>2000</v>
      </c>
      <c r="F38" s="6">
        <v>7840</v>
      </c>
      <c r="G38" s="8" t="s">
        <v>33</v>
      </c>
      <c r="H38" s="5">
        <v>1</v>
      </c>
      <c r="I38" s="9">
        <f t="shared" si="0"/>
        <v>1969.408</v>
      </c>
      <c r="J38" s="13" t="s">
        <v>36</v>
      </c>
      <c r="K38" t="s">
        <v>89</v>
      </c>
    </row>
    <row r="39" ht="22.5" customHeight="1" spans="1:11">
      <c r="A39" s="5">
        <v>34</v>
      </c>
      <c r="B39" s="5" t="s">
        <v>31</v>
      </c>
      <c r="C39" s="6" t="s">
        <v>32</v>
      </c>
      <c r="D39" s="6">
        <v>16</v>
      </c>
      <c r="E39" s="49">
        <v>2000</v>
      </c>
      <c r="F39" s="6">
        <v>9820</v>
      </c>
      <c r="G39" s="8" t="s">
        <v>33</v>
      </c>
      <c r="H39" s="5">
        <v>1</v>
      </c>
      <c r="I39" s="9">
        <f t="shared" si="0"/>
        <v>2466.784</v>
      </c>
      <c r="J39" s="13" t="s">
        <v>36</v>
      </c>
      <c r="K39" t="s">
        <v>89</v>
      </c>
    </row>
    <row r="40" ht="22.5" customHeight="1" spans="1:11">
      <c r="A40" s="5">
        <v>35</v>
      </c>
      <c r="B40" s="5" t="s">
        <v>31</v>
      </c>
      <c r="C40" s="6" t="s">
        <v>39</v>
      </c>
      <c r="D40" s="6">
        <v>16</v>
      </c>
      <c r="E40" s="49">
        <v>2000</v>
      </c>
      <c r="F40" s="6">
        <v>6030</v>
      </c>
      <c r="G40" s="8" t="s">
        <v>33</v>
      </c>
      <c r="H40" s="5">
        <v>1</v>
      </c>
      <c r="I40" s="9">
        <f t="shared" si="0"/>
        <v>1514.736</v>
      </c>
      <c r="J40" s="13" t="s">
        <v>38</v>
      </c>
      <c r="K40" t="s">
        <v>89</v>
      </c>
    </row>
    <row r="41" ht="22.5" customHeight="1" spans="1:11">
      <c r="A41" s="5">
        <v>36</v>
      </c>
      <c r="B41" s="5" t="s">
        <v>31</v>
      </c>
      <c r="C41" s="6" t="s">
        <v>32</v>
      </c>
      <c r="D41" s="6">
        <v>16</v>
      </c>
      <c r="E41" s="49">
        <v>2000</v>
      </c>
      <c r="F41" s="6">
        <v>8280</v>
      </c>
      <c r="G41" s="8" t="s">
        <v>33</v>
      </c>
      <c r="H41" s="5">
        <v>1</v>
      </c>
      <c r="I41" s="9">
        <f t="shared" si="0"/>
        <v>2079.936</v>
      </c>
      <c r="J41" s="13" t="s">
        <v>36</v>
      </c>
      <c r="K41" t="s">
        <v>89</v>
      </c>
    </row>
    <row r="42" ht="22.5" customHeight="1" spans="1:11">
      <c r="A42" s="5">
        <v>37</v>
      </c>
      <c r="B42" s="5" t="s">
        <v>31</v>
      </c>
      <c r="C42" s="6" t="s">
        <v>32</v>
      </c>
      <c r="D42" s="6">
        <v>16</v>
      </c>
      <c r="E42" s="49">
        <v>2000</v>
      </c>
      <c r="F42" s="6">
        <v>7160</v>
      </c>
      <c r="G42" s="8" t="s">
        <v>33</v>
      </c>
      <c r="H42" s="5">
        <v>1</v>
      </c>
      <c r="I42" s="9">
        <f t="shared" si="0"/>
        <v>1798.592</v>
      </c>
      <c r="J42" s="13" t="s">
        <v>11</v>
      </c>
      <c r="K42" t="s">
        <v>89</v>
      </c>
    </row>
    <row r="43" ht="22.5" customHeight="1" spans="1:11">
      <c r="A43" s="5">
        <v>38</v>
      </c>
      <c r="B43" s="5" t="s">
        <v>31</v>
      </c>
      <c r="C43" s="6" t="s">
        <v>32</v>
      </c>
      <c r="D43" s="6">
        <v>16</v>
      </c>
      <c r="E43" s="49">
        <v>2000</v>
      </c>
      <c r="F43" s="6">
        <v>7430</v>
      </c>
      <c r="G43" s="8" t="s">
        <v>33</v>
      </c>
      <c r="H43" s="5">
        <v>3</v>
      </c>
      <c r="I43" s="9">
        <f t="shared" si="0"/>
        <v>5599.248</v>
      </c>
      <c r="J43" s="13" t="s">
        <v>11</v>
      </c>
      <c r="K43" t="s">
        <v>89</v>
      </c>
    </row>
    <row r="44" ht="22.5" customHeight="1" spans="1:11">
      <c r="A44" s="5">
        <v>39</v>
      </c>
      <c r="B44" s="5" t="s">
        <v>31</v>
      </c>
      <c r="C44" s="6" t="s">
        <v>32</v>
      </c>
      <c r="D44" s="6">
        <v>16</v>
      </c>
      <c r="E44" s="49">
        <v>2000</v>
      </c>
      <c r="F44" s="6">
        <v>7440</v>
      </c>
      <c r="G44" s="8" t="s">
        <v>33</v>
      </c>
      <c r="H44" s="5">
        <v>3</v>
      </c>
      <c r="I44" s="9">
        <f t="shared" si="0"/>
        <v>5606.784</v>
      </c>
      <c r="J44" s="13" t="s">
        <v>11</v>
      </c>
      <c r="K44" t="s">
        <v>89</v>
      </c>
    </row>
    <row r="45" ht="22.5" customHeight="1" spans="1:11">
      <c r="A45" s="5">
        <v>40</v>
      </c>
      <c r="B45" s="5" t="s">
        <v>31</v>
      </c>
      <c r="C45" s="6" t="s">
        <v>32</v>
      </c>
      <c r="D45" s="6">
        <v>16</v>
      </c>
      <c r="E45" s="49">
        <v>2000</v>
      </c>
      <c r="F45" s="6">
        <v>7550</v>
      </c>
      <c r="G45" s="8" t="s">
        <v>33</v>
      </c>
      <c r="H45" s="5">
        <v>1</v>
      </c>
      <c r="I45" s="9">
        <f t="shared" si="0"/>
        <v>1896.56</v>
      </c>
      <c r="J45" s="13" t="s">
        <v>11</v>
      </c>
      <c r="K45" t="s">
        <v>89</v>
      </c>
    </row>
    <row r="46" ht="22.5" customHeight="1" spans="1:11">
      <c r="A46" s="5">
        <v>41</v>
      </c>
      <c r="B46" s="5" t="s">
        <v>31</v>
      </c>
      <c r="C46" s="6" t="s">
        <v>32</v>
      </c>
      <c r="D46" s="6">
        <v>16</v>
      </c>
      <c r="E46" s="49">
        <v>2000</v>
      </c>
      <c r="F46" s="6">
        <v>9720</v>
      </c>
      <c r="G46" s="8" t="s">
        <v>33</v>
      </c>
      <c r="H46" s="5">
        <v>1</v>
      </c>
      <c r="I46" s="9">
        <f t="shared" si="0"/>
        <v>2441.664</v>
      </c>
      <c r="J46" s="13" t="s">
        <v>11</v>
      </c>
      <c r="K46" t="s">
        <v>89</v>
      </c>
    </row>
    <row r="47" ht="22.5" customHeight="1" spans="1:11">
      <c r="A47" s="5">
        <v>42</v>
      </c>
      <c r="B47" s="5" t="s">
        <v>31</v>
      </c>
      <c r="C47" s="6" t="s">
        <v>32</v>
      </c>
      <c r="D47" s="6">
        <v>16</v>
      </c>
      <c r="E47" s="49">
        <v>2000</v>
      </c>
      <c r="F47" s="6">
        <v>11130</v>
      </c>
      <c r="G47" s="8" t="s">
        <v>33</v>
      </c>
      <c r="H47" s="5">
        <v>1</v>
      </c>
      <c r="I47" s="9">
        <f t="shared" si="0"/>
        <v>2795.856</v>
      </c>
      <c r="J47" s="13" t="s">
        <v>11</v>
      </c>
      <c r="K47" t="s">
        <v>89</v>
      </c>
    </row>
    <row r="48" ht="22.5" customHeight="1" spans="1:11">
      <c r="A48" s="5">
        <v>43</v>
      </c>
      <c r="B48" s="5" t="s">
        <v>31</v>
      </c>
      <c r="C48" s="6" t="s">
        <v>32</v>
      </c>
      <c r="D48" s="6">
        <v>16</v>
      </c>
      <c r="E48" s="49">
        <v>2000</v>
      </c>
      <c r="F48" s="6">
        <v>10540</v>
      </c>
      <c r="G48" s="8" t="s">
        <v>33</v>
      </c>
      <c r="H48" s="5">
        <v>1</v>
      </c>
      <c r="I48" s="9">
        <f t="shared" si="0"/>
        <v>2647.648</v>
      </c>
      <c r="J48" s="13" t="s">
        <v>34</v>
      </c>
      <c r="K48" t="s">
        <v>89</v>
      </c>
    </row>
    <row r="49" ht="22.5" customHeight="1" spans="1:12">
      <c r="A49" s="5">
        <v>44</v>
      </c>
      <c r="B49" s="5" t="s">
        <v>31</v>
      </c>
      <c r="C49" s="6" t="s">
        <v>32</v>
      </c>
      <c r="D49" s="6">
        <v>16</v>
      </c>
      <c r="E49" s="49">
        <v>2000</v>
      </c>
      <c r="F49" s="6">
        <v>10910</v>
      </c>
      <c r="G49" s="8" t="s">
        <v>33</v>
      </c>
      <c r="H49" s="5">
        <v>1</v>
      </c>
      <c r="I49" s="9">
        <f t="shared" si="0"/>
        <v>2740.592</v>
      </c>
      <c r="J49" s="13" t="s">
        <v>34</v>
      </c>
      <c r="K49" t="s">
        <v>89</v>
      </c>
      <c r="L49">
        <f>SUM(I9:I49)</f>
        <v>115612.08704</v>
      </c>
    </row>
    <row r="50" ht="22.5" customHeight="1" spans="1:10">
      <c r="A50" s="5" t="s">
        <v>40</v>
      </c>
      <c r="B50" s="5"/>
      <c r="C50" s="5"/>
      <c r="D50" s="5"/>
      <c r="E50" s="5"/>
      <c r="F50" s="5"/>
      <c r="G50" s="5"/>
      <c r="H50" s="5"/>
      <c r="I50" s="149">
        <f>SUM(I6:I49)</f>
        <v>121052.13704</v>
      </c>
      <c r="J50" s="13"/>
    </row>
    <row r="51" ht="22.5" customHeight="1" spans="1:10">
      <c r="A51" s="22" t="s">
        <v>41</v>
      </c>
      <c r="B51" s="22"/>
      <c r="C51" s="22"/>
      <c r="D51" s="22"/>
      <c r="E51" s="22"/>
      <c r="F51" s="22"/>
      <c r="G51" s="22"/>
      <c r="H51" s="22"/>
      <c r="I51" s="22"/>
      <c r="J51" s="22"/>
    </row>
    <row r="52" ht="22.5" customHeight="1" spans="1:10">
      <c r="A52" s="22" t="s">
        <v>90</v>
      </c>
      <c r="B52" s="22"/>
      <c r="C52" s="22"/>
      <c r="D52" s="22"/>
      <c r="E52" s="22"/>
      <c r="F52" s="22"/>
      <c r="G52" s="22"/>
      <c r="H52" s="22"/>
      <c r="I52" s="22"/>
      <c r="J52" s="22"/>
    </row>
    <row r="53" ht="30" customHeight="1" spans="1:10">
      <c r="A53" s="16" t="s">
        <v>74</v>
      </c>
      <c r="B53" s="17"/>
      <c r="C53" s="17"/>
      <c r="D53" s="17"/>
      <c r="E53" s="17"/>
      <c r="F53" s="17"/>
      <c r="G53" s="17"/>
      <c r="H53" s="17"/>
      <c r="I53" s="17"/>
      <c r="J53" s="17"/>
    </row>
  </sheetData>
  <autoFilter ref="A5:J53">
    <extLst/>
  </autoFilter>
  <mergeCells count="7">
    <mergeCell ref="A1:J1"/>
    <mergeCell ref="A2:J2"/>
    <mergeCell ref="A3:F3"/>
    <mergeCell ref="A50:H50"/>
    <mergeCell ref="A51:J51"/>
    <mergeCell ref="A52:J52"/>
    <mergeCell ref="A53:J53"/>
  </mergeCells>
  <pageMargins left="0.751388888888889" right="0.751388888888889" top="1" bottom="1" header="0.5" footer="0.5"/>
  <pageSetup paperSize="9" scale="71" fitToHeight="0" orientation="portrait"/>
  <headerFooter>
    <oddFooter>&amp;C第 &amp;P 页，共 &amp;N 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pageSetUpPr fitToPage="1"/>
  </sheetPr>
  <dimension ref="A1:J71"/>
  <sheetViews>
    <sheetView workbookViewId="0">
      <selection activeCell="F21" sqref="F21"/>
    </sheetView>
  </sheetViews>
  <sheetFormatPr defaultColWidth="9" defaultRowHeight="13.5"/>
  <cols>
    <col min="1" max="2" width="8.625" customWidth="1"/>
    <col min="3" max="3" width="10.375" customWidth="1"/>
    <col min="4" max="6" width="11" customWidth="1"/>
    <col min="7" max="8" width="8.625" customWidth="1"/>
    <col min="9" max="9" width="12.875" style="147" customWidth="1"/>
    <col min="10" max="10" width="11.625" customWidth="1"/>
  </cols>
  <sheetData>
    <row r="1" ht="28.5" customHeight="1" spans="1:10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</row>
    <row r="2" ht="28.5" customHeight="1" spans="1:10">
      <c r="A2" s="15" t="s">
        <v>20</v>
      </c>
      <c r="B2" s="15"/>
      <c r="C2" s="15"/>
      <c r="D2" s="15"/>
      <c r="E2" s="15"/>
      <c r="F2" s="15"/>
      <c r="G2" s="15"/>
      <c r="H2" s="15"/>
      <c r="I2" s="15"/>
      <c r="J2" s="15"/>
    </row>
    <row r="3" ht="22.5" customHeight="1" spans="1:10">
      <c r="A3" s="16" t="s">
        <v>21</v>
      </c>
      <c r="B3" s="17"/>
      <c r="C3" s="17"/>
      <c r="D3" s="17"/>
      <c r="E3" s="17"/>
      <c r="F3" s="17"/>
      <c r="G3" s="17"/>
      <c r="H3" s="17"/>
      <c r="I3" s="44"/>
      <c r="J3" s="26"/>
    </row>
    <row r="4" ht="22.5" customHeight="1" spans="1:10">
      <c r="A4" s="18" t="s">
        <v>50</v>
      </c>
      <c r="B4" s="19"/>
      <c r="C4" s="19"/>
      <c r="D4" s="17"/>
      <c r="E4" s="19"/>
      <c r="F4" s="19"/>
      <c r="G4" s="17"/>
      <c r="H4" s="17"/>
      <c r="I4" s="45"/>
      <c r="J4" s="26"/>
    </row>
    <row r="5" ht="22.5" customHeight="1" spans="1:10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4" t="s">
        <v>29</v>
      </c>
      <c r="J5" s="11" t="s">
        <v>30</v>
      </c>
    </row>
    <row r="6" ht="22.5" customHeight="1" spans="1:10">
      <c r="A6" s="5">
        <v>1</v>
      </c>
      <c r="B6" s="5" t="s">
        <v>31</v>
      </c>
      <c r="C6" s="6" t="s">
        <v>32</v>
      </c>
      <c r="D6" s="6">
        <v>12</v>
      </c>
      <c r="E6" s="49">
        <v>1500</v>
      </c>
      <c r="F6" s="6">
        <v>8550</v>
      </c>
      <c r="G6" s="8" t="s">
        <v>33</v>
      </c>
      <c r="H6" s="5">
        <v>1</v>
      </c>
      <c r="I6" s="9">
        <f t="shared" ref="I6:I37" si="0">E6*H6*F6*D6*7.85/1000000</f>
        <v>1208.115</v>
      </c>
      <c r="J6" s="13" t="s">
        <v>17</v>
      </c>
    </row>
    <row r="7" ht="22.5" customHeight="1" spans="1:10">
      <c r="A7" s="5">
        <v>2</v>
      </c>
      <c r="B7" s="5" t="s">
        <v>31</v>
      </c>
      <c r="C7" s="6" t="s">
        <v>32</v>
      </c>
      <c r="D7" s="6">
        <v>12</v>
      </c>
      <c r="E7" s="49">
        <v>2000</v>
      </c>
      <c r="F7" s="6">
        <v>6860</v>
      </c>
      <c r="G7" s="8" t="s">
        <v>33</v>
      </c>
      <c r="H7" s="5">
        <v>2</v>
      </c>
      <c r="I7" s="9">
        <f t="shared" si="0"/>
        <v>2584.848</v>
      </c>
      <c r="J7" s="13" t="s">
        <v>15</v>
      </c>
    </row>
    <row r="8" ht="22.5" customHeight="1" spans="1:10">
      <c r="A8" s="5">
        <v>3</v>
      </c>
      <c r="B8" s="5" t="s">
        <v>31</v>
      </c>
      <c r="C8" s="6" t="s">
        <v>32</v>
      </c>
      <c r="D8" s="6">
        <v>12</v>
      </c>
      <c r="E8" s="49">
        <v>2000</v>
      </c>
      <c r="F8" s="6">
        <v>7550</v>
      </c>
      <c r="G8" s="8" t="s">
        <v>33</v>
      </c>
      <c r="H8" s="5">
        <v>1</v>
      </c>
      <c r="I8" s="9">
        <f t="shared" si="0"/>
        <v>1422.42</v>
      </c>
      <c r="J8" s="13" t="s">
        <v>16</v>
      </c>
    </row>
    <row r="9" ht="22.5" customHeight="1" spans="1:10">
      <c r="A9" s="5">
        <v>4</v>
      </c>
      <c r="B9" s="5" t="s">
        <v>31</v>
      </c>
      <c r="C9" s="6" t="s">
        <v>32</v>
      </c>
      <c r="D9" s="6">
        <v>12</v>
      </c>
      <c r="E9" s="49">
        <v>2000</v>
      </c>
      <c r="F9" s="6">
        <v>10030</v>
      </c>
      <c r="G9" s="8" t="s">
        <v>33</v>
      </c>
      <c r="H9" s="5">
        <v>2</v>
      </c>
      <c r="I9" s="9">
        <f t="shared" si="0"/>
        <v>3779.304</v>
      </c>
      <c r="J9" s="13" t="s">
        <v>16</v>
      </c>
    </row>
    <row r="10" ht="22.5" customHeight="1" spans="1:10">
      <c r="A10" s="5">
        <v>5</v>
      </c>
      <c r="B10" s="5" t="s">
        <v>31</v>
      </c>
      <c r="C10" s="6" t="s">
        <v>32</v>
      </c>
      <c r="D10" s="6">
        <v>16</v>
      </c>
      <c r="E10" s="49">
        <v>1500</v>
      </c>
      <c r="F10" s="6">
        <v>7440</v>
      </c>
      <c r="G10" s="8" t="s">
        <v>33</v>
      </c>
      <c r="H10" s="5">
        <v>1</v>
      </c>
      <c r="I10" s="9">
        <f t="shared" si="0"/>
        <v>1401.696</v>
      </c>
      <c r="J10" s="13" t="s">
        <v>34</v>
      </c>
    </row>
    <row r="11" ht="22.5" customHeight="1" spans="1:10">
      <c r="A11" s="5">
        <v>6</v>
      </c>
      <c r="B11" s="5" t="s">
        <v>31</v>
      </c>
      <c r="C11" s="6" t="s">
        <v>32</v>
      </c>
      <c r="D11" s="6">
        <v>16</v>
      </c>
      <c r="E11" s="49">
        <v>1500</v>
      </c>
      <c r="F11" s="6">
        <v>7440</v>
      </c>
      <c r="G11" s="8" t="s">
        <v>33</v>
      </c>
      <c r="H11" s="5">
        <v>1</v>
      </c>
      <c r="I11" s="9">
        <f t="shared" si="0"/>
        <v>1401.696</v>
      </c>
      <c r="J11" s="13" t="s">
        <v>36</v>
      </c>
    </row>
    <row r="12" ht="22.5" customHeight="1" spans="1:10">
      <c r="A12" s="5">
        <v>7</v>
      </c>
      <c r="B12" s="5" t="s">
        <v>31</v>
      </c>
      <c r="C12" s="6" t="s">
        <v>32</v>
      </c>
      <c r="D12" s="6">
        <v>16</v>
      </c>
      <c r="E12" s="49">
        <v>1500</v>
      </c>
      <c r="F12" s="6">
        <v>8020</v>
      </c>
      <c r="G12" s="8" t="s">
        <v>33</v>
      </c>
      <c r="H12" s="5">
        <v>3</v>
      </c>
      <c r="I12" s="9">
        <f t="shared" si="0"/>
        <v>4532.904</v>
      </c>
      <c r="J12" s="13" t="s">
        <v>34</v>
      </c>
    </row>
    <row r="13" ht="22.5" customHeight="1" spans="1:10">
      <c r="A13" s="5">
        <v>8</v>
      </c>
      <c r="B13" s="5" t="s">
        <v>31</v>
      </c>
      <c r="C13" s="6" t="s">
        <v>32</v>
      </c>
      <c r="D13" s="6">
        <v>16</v>
      </c>
      <c r="E13" s="49">
        <v>1500</v>
      </c>
      <c r="F13" s="6">
        <v>8020</v>
      </c>
      <c r="G13" s="8" t="s">
        <v>33</v>
      </c>
      <c r="H13" s="5">
        <v>3</v>
      </c>
      <c r="I13" s="9">
        <f t="shared" si="0"/>
        <v>4532.904</v>
      </c>
      <c r="J13" s="13" t="s">
        <v>36</v>
      </c>
    </row>
    <row r="14" ht="22.5" customHeight="1" spans="1:10">
      <c r="A14" s="5">
        <v>9</v>
      </c>
      <c r="B14" s="5" t="s">
        <v>31</v>
      </c>
      <c r="C14" s="6" t="s">
        <v>32</v>
      </c>
      <c r="D14" s="6">
        <v>16</v>
      </c>
      <c r="E14" s="49">
        <v>1500</v>
      </c>
      <c r="F14" s="6">
        <v>10000</v>
      </c>
      <c r="G14" s="8" t="s">
        <v>33</v>
      </c>
      <c r="H14" s="5">
        <v>1</v>
      </c>
      <c r="I14" s="9">
        <f t="shared" si="0"/>
        <v>1884</v>
      </c>
      <c r="J14" s="13" t="s">
        <v>34</v>
      </c>
    </row>
    <row r="15" ht="22.5" customHeight="1" spans="1:10">
      <c r="A15" s="5">
        <v>10</v>
      </c>
      <c r="B15" s="5" t="s">
        <v>31</v>
      </c>
      <c r="C15" s="6" t="s">
        <v>32</v>
      </c>
      <c r="D15" s="6">
        <v>16</v>
      </c>
      <c r="E15" s="49">
        <v>1500</v>
      </c>
      <c r="F15" s="6">
        <v>10000</v>
      </c>
      <c r="G15" s="8" t="s">
        <v>33</v>
      </c>
      <c r="H15" s="5">
        <v>1</v>
      </c>
      <c r="I15" s="9">
        <f t="shared" si="0"/>
        <v>1884</v>
      </c>
      <c r="J15" s="13" t="s">
        <v>36</v>
      </c>
    </row>
    <row r="16" ht="22.5" customHeight="1" spans="1:10">
      <c r="A16" s="5">
        <v>11</v>
      </c>
      <c r="B16" s="5" t="s">
        <v>31</v>
      </c>
      <c r="C16" s="6" t="s">
        <v>32</v>
      </c>
      <c r="D16" s="6">
        <v>16</v>
      </c>
      <c r="E16" s="49">
        <v>1500</v>
      </c>
      <c r="F16" s="6">
        <v>8020</v>
      </c>
      <c r="G16" s="8" t="s">
        <v>33</v>
      </c>
      <c r="H16" s="5">
        <v>1</v>
      </c>
      <c r="I16" s="9">
        <f t="shared" si="0"/>
        <v>1510.968</v>
      </c>
      <c r="J16" s="13" t="s">
        <v>34</v>
      </c>
    </row>
    <row r="17" ht="22.5" customHeight="1" spans="1:10">
      <c r="A17" s="5">
        <v>12</v>
      </c>
      <c r="B17" s="5" t="s">
        <v>31</v>
      </c>
      <c r="C17" s="6" t="s">
        <v>32</v>
      </c>
      <c r="D17" s="6">
        <v>16</v>
      </c>
      <c r="E17" s="49">
        <v>1500</v>
      </c>
      <c r="F17" s="6">
        <v>8020</v>
      </c>
      <c r="G17" s="8" t="s">
        <v>33</v>
      </c>
      <c r="H17" s="5">
        <v>1</v>
      </c>
      <c r="I17" s="9">
        <f t="shared" si="0"/>
        <v>1510.968</v>
      </c>
      <c r="J17" s="13" t="s">
        <v>36</v>
      </c>
    </row>
    <row r="18" ht="22.5" customHeight="1" spans="1:10">
      <c r="A18" s="5">
        <v>13</v>
      </c>
      <c r="B18" s="5" t="s">
        <v>31</v>
      </c>
      <c r="C18" s="6" t="s">
        <v>32</v>
      </c>
      <c r="D18" s="6">
        <v>16</v>
      </c>
      <c r="E18" s="49">
        <v>1800</v>
      </c>
      <c r="F18" s="6">
        <v>8090</v>
      </c>
      <c r="G18" s="8" t="s">
        <v>33</v>
      </c>
      <c r="H18" s="5">
        <v>1</v>
      </c>
      <c r="I18" s="9">
        <f t="shared" si="0"/>
        <v>1828.9872</v>
      </c>
      <c r="J18" s="13" t="s">
        <v>34</v>
      </c>
    </row>
    <row r="19" ht="22.5" customHeight="1" spans="1:10">
      <c r="A19" s="5">
        <v>14</v>
      </c>
      <c r="B19" s="5" t="s">
        <v>31</v>
      </c>
      <c r="C19" s="6" t="s">
        <v>32</v>
      </c>
      <c r="D19" s="6">
        <v>16</v>
      </c>
      <c r="E19" s="49">
        <v>1800</v>
      </c>
      <c r="F19" s="6">
        <v>8090</v>
      </c>
      <c r="G19" s="8" t="s">
        <v>33</v>
      </c>
      <c r="H19" s="5">
        <v>1</v>
      </c>
      <c r="I19" s="9">
        <f t="shared" si="0"/>
        <v>1828.9872</v>
      </c>
      <c r="J19" s="13" t="s">
        <v>36</v>
      </c>
    </row>
    <row r="20" ht="22.5" customHeight="1" spans="1:10">
      <c r="A20" s="5">
        <v>15</v>
      </c>
      <c r="B20" s="5" t="s">
        <v>31</v>
      </c>
      <c r="C20" s="6" t="s">
        <v>32</v>
      </c>
      <c r="D20" s="6">
        <v>16</v>
      </c>
      <c r="E20" s="49">
        <v>1800</v>
      </c>
      <c r="F20" s="6">
        <v>8060</v>
      </c>
      <c r="G20" s="8" t="s">
        <v>33</v>
      </c>
      <c r="H20" s="5">
        <v>1</v>
      </c>
      <c r="I20" s="9">
        <f t="shared" si="0"/>
        <v>1822.2048</v>
      </c>
      <c r="J20" s="13" t="s">
        <v>34</v>
      </c>
    </row>
    <row r="21" ht="22.5" customHeight="1" spans="1:10">
      <c r="A21" s="5">
        <v>16</v>
      </c>
      <c r="B21" s="5" t="s">
        <v>31</v>
      </c>
      <c r="C21" s="6" t="s">
        <v>32</v>
      </c>
      <c r="D21" s="6">
        <v>16</v>
      </c>
      <c r="E21" s="49">
        <v>1800</v>
      </c>
      <c r="F21" s="6">
        <v>8060</v>
      </c>
      <c r="G21" s="8" t="s">
        <v>33</v>
      </c>
      <c r="H21" s="5">
        <v>1</v>
      </c>
      <c r="I21" s="9">
        <f t="shared" si="0"/>
        <v>1822.2048</v>
      </c>
      <c r="J21" s="13" t="s">
        <v>36</v>
      </c>
    </row>
    <row r="22" ht="22.5" customHeight="1" spans="1:10">
      <c r="A22" s="5">
        <v>17</v>
      </c>
      <c r="B22" s="5" t="s">
        <v>31</v>
      </c>
      <c r="C22" s="6" t="s">
        <v>32</v>
      </c>
      <c r="D22" s="6">
        <v>16</v>
      </c>
      <c r="E22" s="49">
        <v>1800</v>
      </c>
      <c r="F22" s="6">
        <v>8170</v>
      </c>
      <c r="G22" s="8" t="s">
        <v>33</v>
      </c>
      <c r="H22" s="5">
        <v>1</v>
      </c>
      <c r="I22" s="9">
        <f t="shared" si="0"/>
        <v>1847.0736</v>
      </c>
      <c r="J22" s="13" t="s">
        <v>34</v>
      </c>
    </row>
    <row r="23" ht="22.5" customHeight="1" spans="1:10">
      <c r="A23" s="5">
        <v>18</v>
      </c>
      <c r="B23" s="5" t="s">
        <v>31</v>
      </c>
      <c r="C23" s="6" t="s">
        <v>32</v>
      </c>
      <c r="D23" s="6">
        <v>16</v>
      </c>
      <c r="E23" s="49">
        <v>1800</v>
      </c>
      <c r="F23" s="6">
        <v>8170</v>
      </c>
      <c r="G23" s="8" t="s">
        <v>33</v>
      </c>
      <c r="H23" s="5">
        <v>1</v>
      </c>
      <c r="I23" s="9">
        <f t="shared" si="0"/>
        <v>1847.0736</v>
      </c>
      <c r="J23" s="13" t="s">
        <v>36</v>
      </c>
    </row>
    <row r="24" ht="22.5" customHeight="1" spans="1:10">
      <c r="A24" s="5">
        <v>19</v>
      </c>
      <c r="B24" s="5" t="s">
        <v>31</v>
      </c>
      <c r="C24" s="6" t="s">
        <v>32</v>
      </c>
      <c r="D24" s="6">
        <v>16</v>
      </c>
      <c r="E24" s="49">
        <v>1800</v>
      </c>
      <c r="F24" s="6">
        <v>8090</v>
      </c>
      <c r="G24" s="8" t="s">
        <v>33</v>
      </c>
      <c r="H24" s="5">
        <v>1</v>
      </c>
      <c r="I24" s="9">
        <f t="shared" si="0"/>
        <v>1828.9872</v>
      </c>
      <c r="J24" s="13" t="s">
        <v>34</v>
      </c>
    </row>
    <row r="25" ht="22.5" customHeight="1" spans="1:10">
      <c r="A25" s="5">
        <v>20</v>
      </c>
      <c r="B25" s="5" t="s">
        <v>31</v>
      </c>
      <c r="C25" s="6" t="s">
        <v>32</v>
      </c>
      <c r="D25" s="6">
        <v>16</v>
      </c>
      <c r="E25" s="49">
        <v>1800</v>
      </c>
      <c r="F25" s="6">
        <v>8090</v>
      </c>
      <c r="G25" s="8" t="s">
        <v>33</v>
      </c>
      <c r="H25" s="5">
        <v>1</v>
      </c>
      <c r="I25" s="9">
        <f t="shared" si="0"/>
        <v>1828.9872</v>
      </c>
      <c r="J25" s="13" t="s">
        <v>36</v>
      </c>
    </row>
    <row r="26" ht="22.5" customHeight="1" spans="1:10">
      <c r="A26" s="5">
        <v>21</v>
      </c>
      <c r="B26" s="5" t="s">
        <v>31</v>
      </c>
      <c r="C26" s="6" t="s">
        <v>32</v>
      </c>
      <c r="D26" s="6">
        <v>16</v>
      </c>
      <c r="E26" s="49">
        <v>1800</v>
      </c>
      <c r="F26" s="6">
        <v>8140</v>
      </c>
      <c r="G26" s="8" t="s">
        <v>33</v>
      </c>
      <c r="H26" s="5">
        <v>1</v>
      </c>
      <c r="I26" s="9">
        <f t="shared" si="0"/>
        <v>1840.2912</v>
      </c>
      <c r="J26" s="13" t="s">
        <v>34</v>
      </c>
    </row>
    <row r="27" ht="22.5" customHeight="1" spans="1:10">
      <c r="A27" s="5">
        <v>22</v>
      </c>
      <c r="B27" s="5" t="s">
        <v>31</v>
      </c>
      <c r="C27" s="6" t="s">
        <v>32</v>
      </c>
      <c r="D27" s="6">
        <v>16</v>
      </c>
      <c r="E27" s="49">
        <v>1800</v>
      </c>
      <c r="F27" s="6">
        <v>8140</v>
      </c>
      <c r="G27" s="8" t="s">
        <v>33</v>
      </c>
      <c r="H27" s="5">
        <v>1</v>
      </c>
      <c r="I27" s="9">
        <f t="shared" si="0"/>
        <v>1840.2912</v>
      </c>
      <c r="J27" s="13" t="s">
        <v>36</v>
      </c>
    </row>
    <row r="28" ht="22.5" customHeight="1" spans="1:10">
      <c r="A28" s="5">
        <v>23</v>
      </c>
      <c r="B28" s="5" t="s">
        <v>31</v>
      </c>
      <c r="C28" s="6" t="s">
        <v>32</v>
      </c>
      <c r="D28" s="6">
        <v>16</v>
      </c>
      <c r="E28" s="49">
        <v>1800</v>
      </c>
      <c r="F28" s="50">
        <v>9750</v>
      </c>
      <c r="G28" s="8" t="s">
        <v>33</v>
      </c>
      <c r="H28" s="5">
        <v>10</v>
      </c>
      <c r="I28" s="9">
        <f t="shared" si="0"/>
        <v>22042.8</v>
      </c>
      <c r="J28" s="13" t="s">
        <v>14</v>
      </c>
    </row>
    <row r="29" ht="22.5" customHeight="1" spans="1:10">
      <c r="A29" s="5">
        <v>24</v>
      </c>
      <c r="B29" s="5" t="s">
        <v>31</v>
      </c>
      <c r="C29" s="6" t="s">
        <v>32</v>
      </c>
      <c r="D29" s="6">
        <v>16</v>
      </c>
      <c r="E29" s="49">
        <v>1800</v>
      </c>
      <c r="F29" s="6">
        <v>7430</v>
      </c>
      <c r="G29" s="8" t="s">
        <v>33</v>
      </c>
      <c r="H29" s="5">
        <v>1</v>
      </c>
      <c r="I29" s="9">
        <f t="shared" si="0"/>
        <v>1679.7744</v>
      </c>
      <c r="J29" s="13" t="s">
        <v>35</v>
      </c>
    </row>
    <row r="30" ht="22.5" customHeight="1" spans="1:10">
      <c r="A30" s="5">
        <v>25</v>
      </c>
      <c r="B30" s="5" t="s">
        <v>31</v>
      </c>
      <c r="C30" s="6" t="s">
        <v>32</v>
      </c>
      <c r="D30" s="6">
        <v>16</v>
      </c>
      <c r="E30" s="49">
        <v>1800</v>
      </c>
      <c r="F30" s="6">
        <v>7420</v>
      </c>
      <c r="G30" s="8" t="s">
        <v>33</v>
      </c>
      <c r="H30" s="5">
        <v>1</v>
      </c>
      <c r="I30" s="9">
        <f t="shared" si="0"/>
        <v>1677.5136</v>
      </c>
      <c r="J30" s="13" t="s">
        <v>35</v>
      </c>
    </row>
    <row r="31" ht="22.5" customHeight="1" spans="1:10">
      <c r="A31" s="5">
        <v>26</v>
      </c>
      <c r="B31" s="5" t="s">
        <v>31</v>
      </c>
      <c r="C31" s="6" t="s">
        <v>32</v>
      </c>
      <c r="D31" s="6">
        <v>16</v>
      </c>
      <c r="E31" s="49">
        <v>1800</v>
      </c>
      <c r="F31" s="6">
        <v>8040</v>
      </c>
      <c r="G31" s="8" t="s">
        <v>33</v>
      </c>
      <c r="H31" s="5">
        <v>1</v>
      </c>
      <c r="I31" s="9">
        <f t="shared" si="0"/>
        <v>1817.6832</v>
      </c>
      <c r="J31" s="13" t="s">
        <v>34</v>
      </c>
    </row>
    <row r="32" ht="22.5" customHeight="1" spans="1:10">
      <c r="A32" s="5">
        <v>27</v>
      </c>
      <c r="B32" s="5" t="s">
        <v>31</v>
      </c>
      <c r="C32" s="6" t="s">
        <v>32</v>
      </c>
      <c r="D32" s="6">
        <v>16</v>
      </c>
      <c r="E32" s="49">
        <v>1800</v>
      </c>
      <c r="F32" s="6">
        <v>8040</v>
      </c>
      <c r="G32" s="8" t="s">
        <v>33</v>
      </c>
      <c r="H32" s="5">
        <v>1</v>
      </c>
      <c r="I32" s="9">
        <f t="shared" si="0"/>
        <v>1817.6832</v>
      </c>
      <c r="J32" s="13" t="s">
        <v>36</v>
      </c>
    </row>
    <row r="33" ht="22.5" customHeight="1" spans="1:10">
      <c r="A33" s="5">
        <v>28</v>
      </c>
      <c r="B33" s="5" t="s">
        <v>31</v>
      </c>
      <c r="C33" s="6" t="s">
        <v>32</v>
      </c>
      <c r="D33" s="6">
        <v>16</v>
      </c>
      <c r="E33" s="49">
        <v>1800</v>
      </c>
      <c r="F33" s="6">
        <v>8050</v>
      </c>
      <c r="G33" s="8" t="s">
        <v>33</v>
      </c>
      <c r="H33" s="5">
        <v>1</v>
      </c>
      <c r="I33" s="9">
        <f t="shared" si="0"/>
        <v>1819.944</v>
      </c>
      <c r="J33" s="13" t="s">
        <v>34</v>
      </c>
    </row>
    <row r="34" ht="22.5" customHeight="1" spans="1:10">
      <c r="A34" s="5">
        <v>29</v>
      </c>
      <c r="B34" s="5" t="s">
        <v>31</v>
      </c>
      <c r="C34" s="6" t="s">
        <v>32</v>
      </c>
      <c r="D34" s="6">
        <v>16</v>
      </c>
      <c r="E34" s="49">
        <v>1800</v>
      </c>
      <c r="F34" s="6">
        <v>8050</v>
      </c>
      <c r="G34" s="8" t="s">
        <v>33</v>
      </c>
      <c r="H34" s="5">
        <v>1</v>
      </c>
      <c r="I34" s="9">
        <f t="shared" si="0"/>
        <v>1819.944</v>
      </c>
      <c r="J34" s="13" t="s">
        <v>36</v>
      </c>
    </row>
    <row r="35" ht="22.5" customHeight="1" spans="1:10">
      <c r="A35" s="5">
        <v>30</v>
      </c>
      <c r="B35" s="5" t="s">
        <v>31</v>
      </c>
      <c r="C35" s="6" t="s">
        <v>32</v>
      </c>
      <c r="D35" s="6">
        <v>16</v>
      </c>
      <c r="E35" s="49">
        <v>1800</v>
      </c>
      <c r="F35" s="6">
        <v>8070</v>
      </c>
      <c r="G35" s="8" t="s">
        <v>33</v>
      </c>
      <c r="H35" s="5">
        <v>2</v>
      </c>
      <c r="I35" s="9">
        <f t="shared" si="0"/>
        <v>3648.9312</v>
      </c>
      <c r="J35" s="13" t="s">
        <v>34</v>
      </c>
    </row>
    <row r="36" ht="22.5" customHeight="1" spans="1:10">
      <c r="A36" s="5">
        <v>31</v>
      </c>
      <c r="B36" s="5" t="s">
        <v>31</v>
      </c>
      <c r="C36" s="6" t="s">
        <v>32</v>
      </c>
      <c r="D36" s="6">
        <v>16</v>
      </c>
      <c r="E36" s="49">
        <v>1800</v>
      </c>
      <c r="F36" s="6">
        <v>8070</v>
      </c>
      <c r="G36" s="8" t="s">
        <v>33</v>
      </c>
      <c r="H36" s="5">
        <v>2</v>
      </c>
      <c r="I36" s="9">
        <f t="shared" si="0"/>
        <v>3648.9312</v>
      </c>
      <c r="J36" s="13" t="s">
        <v>36</v>
      </c>
    </row>
    <row r="37" ht="22.5" customHeight="1" spans="1:10">
      <c r="A37" s="5">
        <v>32</v>
      </c>
      <c r="B37" s="5" t="s">
        <v>31</v>
      </c>
      <c r="C37" s="6" t="s">
        <v>32</v>
      </c>
      <c r="D37" s="6">
        <v>16</v>
      </c>
      <c r="E37" s="49">
        <v>1800</v>
      </c>
      <c r="F37" s="6">
        <v>8080</v>
      </c>
      <c r="G37" s="8" t="s">
        <v>33</v>
      </c>
      <c r="H37" s="5">
        <v>1</v>
      </c>
      <c r="I37" s="9">
        <f t="shared" si="0"/>
        <v>1826.7264</v>
      </c>
      <c r="J37" s="13" t="s">
        <v>34</v>
      </c>
    </row>
    <row r="38" ht="22.5" customHeight="1" spans="1:10">
      <c r="A38" s="5">
        <v>33</v>
      </c>
      <c r="B38" s="5" t="s">
        <v>31</v>
      </c>
      <c r="C38" s="6" t="s">
        <v>32</v>
      </c>
      <c r="D38" s="6">
        <v>16</v>
      </c>
      <c r="E38" s="49">
        <v>1800</v>
      </c>
      <c r="F38" s="6">
        <v>8080</v>
      </c>
      <c r="G38" s="8" t="s">
        <v>33</v>
      </c>
      <c r="H38" s="5">
        <v>1</v>
      </c>
      <c r="I38" s="9">
        <f t="shared" ref="I38:I69" si="1">E38*H38*F38*D38*7.85/1000000</f>
        <v>1826.7264</v>
      </c>
      <c r="J38" s="13" t="s">
        <v>36</v>
      </c>
    </row>
    <row r="39" ht="22.5" customHeight="1" spans="1:10">
      <c r="A39" s="5">
        <v>34</v>
      </c>
      <c r="B39" s="5" t="s">
        <v>31</v>
      </c>
      <c r="C39" s="6" t="s">
        <v>32</v>
      </c>
      <c r="D39" s="6">
        <v>16</v>
      </c>
      <c r="E39" s="49">
        <v>1800</v>
      </c>
      <c r="F39" s="6">
        <v>8140</v>
      </c>
      <c r="G39" s="8" t="s">
        <v>33</v>
      </c>
      <c r="H39" s="5">
        <v>2</v>
      </c>
      <c r="I39" s="9">
        <f t="shared" si="1"/>
        <v>3680.5824</v>
      </c>
      <c r="J39" s="13" t="s">
        <v>34</v>
      </c>
    </row>
    <row r="40" ht="22.5" customHeight="1" spans="1:10">
      <c r="A40" s="5">
        <v>35</v>
      </c>
      <c r="B40" s="5" t="s">
        <v>31</v>
      </c>
      <c r="C40" s="6" t="s">
        <v>32</v>
      </c>
      <c r="D40" s="6">
        <v>16</v>
      </c>
      <c r="E40" s="49">
        <v>1800</v>
      </c>
      <c r="F40" s="6">
        <v>8140</v>
      </c>
      <c r="G40" s="8" t="s">
        <v>33</v>
      </c>
      <c r="H40" s="5">
        <v>2</v>
      </c>
      <c r="I40" s="9">
        <f t="shared" si="1"/>
        <v>3680.5824</v>
      </c>
      <c r="J40" s="13" t="s">
        <v>36</v>
      </c>
    </row>
    <row r="41" ht="22.5" customHeight="1" spans="1:10">
      <c r="A41" s="5">
        <v>36</v>
      </c>
      <c r="B41" s="5" t="s">
        <v>31</v>
      </c>
      <c r="C41" s="6" t="s">
        <v>32</v>
      </c>
      <c r="D41" s="6">
        <v>16</v>
      </c>
      <c r="E41" s="49">
        <v>1800</v>
      </c>
      <c r="F41" s="6">
        <v>8210</v>
      </c>
      <c r="G41" s="8" t="s">
        <v>33</v>
      </c>
      <c r="H41" s="5">
        <v>1</v>
      </c>
      <c r="I41" s="9">
        <f t="shared" si="1"/>
        <v>1856.1168</v>
      </c>
      <c r="J41" s="13" t="s">
        <v>34</v>
      </c>
    </row>
    <row r="42" ht="22.5" customHeight="1" spans="1:10">
      <c r="A42" s="5">
        <v>37</v>
      </c>
      <c r="B42" s="5" t="s">
        <v>31</v>
      </c>
      <c r="C42" s="6" t="s">
        <v>32</v>
      </c>
      <c r="D42" s="6">
        <v>16</v>
      </c>
      <c r="E42" s="49">
        <v>1800</v>
      </c>
      <c r="F42" s="6">
        <v>8210</v>
      </c>
      <c r="G42" s="8" t="s">
        <v>33</v>
      </c>
      <c r="H42" s="5">
        <v>1</v>
      </c>
      <c r="I42" s="9">
        <f t="shared" si="1"/>
        <v>1856.1168</v>
      </c>
      <c r="J42" s="13" t="s">
        <v>36</v>
      </c>
    </row>
    <row r="43" ht="22.5" customHeight="1" spans="1:10">
      <c r="A43" s="5">
        <v>38</v>
      </c>
      <c r="B43" s="5" t="s">
        <v>31</v>
      </c>
      <c r="C43" s="6" t="s">
        <v>37</v>
      </c>
      <c r="D43" s="6">
        <v>16</v>
      </c>
      <c r="E43" s="49">
        <v>1800</v>
      </c>
      <c r="F43" s="6">
        <v>11340</v>
      </c>
      <c r="G43" s="8" t="s">
        <v>33</v>
      </c>
      <c r="H43" s="5">
        <v>1</v>
      </c>
      <c r="I43" s="9">
        <f t="shared" si="1"/>
        <v>2563.7472</v>
      </c>
      <c r="J43" s="13" t="s">
        <v>38</v>
      </c>
    </row>
    <row r="44" ht="22.5" customHeight="1" spans="1:10">
      <c r="A44" s="5">
        <v>39</v>
      </c>
      <c r="B44" s="5" t="s">
        <v>31</v>
      </c>
      <c r="C44" s="6" t="s">
        <v>32</v>
      </c>
      <c r="D44" s="6">
        <v>16</v>
      </c>
      <c r="E44" s="49">
        <v>1800</v>
      </c>
      <c r="F44" s="6">
        <v>7420</v>
      </c>
      <c r="G44" s="8" t="s">
        <v>33</v>
      </c>
      <c r="H44" s="5">
        <v>4</v>
      </c>
      <c r="I44" s="9">
        <f t="shared" si="1"/>
        <v>6710.0544</v>
      </c>
      <c r="J44" s="13" t="s">
        <v>11</v>
      </c>
    </row>
    <row r="45" ht="22.5" customHeight="1" spans="1:10">
      <c r="A45" s="5">
        <v>40</v>
      </c>
      <c r="B45" s="5" t="s">
        <v>31</v>
      </c>
      <c r="C45" s="6" t="s">
        <v>32</v>
      </c>
      <c r="D45" s="6">
        <v>16</v>
      </c>
      <c r="E45" s="49">
        <v>1800</v>
      </c>
      <c r="F45" s="6">
        <v>9700</v>
      </c>
      <c r="G45" s="8" t="s">
        <v>33</v>
      </c>
      <c r="H45" s="5">
        <v>1</v>
      </c>
      <c r="I45" s="9">
        <f t="shared" si="1"/>
        <v>2192.976</v>
      </c>
      <c r="J45" s="13" t="s">
        <v>11</v>
      </c>
    </row>
    <row r="46" ht="22.5" customHeight="1" spans="1:10">
      <c r="A46" s="5">
        <v>41</v>
      </c>
      <c r="B46" s="5" t="s">
        <v>31</v>
      </c>
      <c r="C46" s="6" t="s">
        <v>32</v>
      </c>
      <c r="D46" s="6">
        <v>16</v>
      </c>
      <c r="E46" s="49">
        <v>1800</v>
      </c>
      <c r="F46" s="6">
        <v>7140</v>
      </c>
      <c r="G46" s="8" t="s">
        <v>33</v>
      </c>
      <c r="H46" s="5">
        <v>1</v>
      </c>
      <c r="I46" s="9">
        <f t="shared" si="1"/>
        <v>1614.2112</v>
      </c>
      <c r="J46" s="13" t="s">
        <v>11</v>
      </c>
    </row>
    <row r="47" ht="22.5" customHeight="1" spans="1:10">
      <c r="A47" s="5">
        <v>42</v>
      </c>
      <c r="B47" s="5" t="s">
        <v>31</v>
      </c>
      <c r="C47" s="6" t="s">
        <v>32</v>
      </c>
      <c r="D47" s="6">
        <v>16</v>
      </c>
      <c r="E47" s="49">
        <v>2000</v>
      </c>
      <c r="F47" s="6">
        <v>7490</v>
      </c>
      <c r="G47" s="8" t="s">
        <v>33</v>
      </c>
      <c r="H47" s="5">
        <v>1</v>
      </c>
      <c r="I47" s="9">
        <f t="shared" si="1"/>
        <v>1881.488</v>
      </c>
      <c r="J47" s="13" t="s">
        <v>11</v>
      </c>
    </row>
    <row r="48" ht="22.5" customHeight="1" spans="1:10">
      <c r="A48" s="5">
        <v>43</v>
      </c>
      <c r="B48" s="5" t="s">
        <v>31</v>
      </c>
      <c r="C48" s="6" t="s">
        <v>32</v>
      </c>
      <c r="D48" s="6">
        <v>16</v>
      </c>
      <c r="E48" s="49">
        <v>2000</v>
      </c>
      <c r="F48" s="6">
        <v>7520</v>
      </c>
      <c r="G48" s="8" t="s">
        <v>33</v>
      </c>
      <c r="H48" s="5">
        <v>1</v>
      </c>
      <c r="I48" s="9">
        <f t="shared" si="1"/>
        <v>1889.024</v>
      </c>
      <c r="J48" s="13" t="s">
        <v>11</v>
      </c>
    </row>
    <row r="49" ht="22.5" customHeight="1" spans="1:10">
      <c r="A49" s="5">
        <v>44</v>
      </c>
      <c r="B49" s="5" t="s">
        <v>31</v>
      </c>
      <c r="C49" s="6" t="s">
        <v>32</v>
      </c>
      <c r="D49" s="6">
        <v>16</v>
      </c>
      <c r="E49" s="49">
        <v>2000</v>
      </c>
      <c r="F49" s="6">
        <v>7530</v>
      </c>
      <c r="G49" s="8" t="s">
        <v>33</v>
      </c>
      <c r="H49" s="5">
        <v>1</v>
      </c>
      <c r="I49" s="9">
        <f t="shared" si="1"/>
        <v>1891.536</v>
      </c>
      <c r="J49" s="13" t="s">
        <v>11</v>
      </c>
    </row>
    <row r="50" ht="22.5" customHeight="1" spans="1:10">
      <c r="A50" s="5">
        <v>45</v>
      </c>
      <c r="B50" s="5" t="s">
        <v>31</v>
      </c>
      <c r="C50" s="6" t="s">
        <v>32</v>
      </c>
      <c r="D50" s="6">
        <v>16</v>
      </c>
      <c r="E50" s="49">
        <v>2000</v>
      </c>
      <c r="F50" s="6">
        <v>7600</v>
      </c>
      <c r="G50" s="8" t="s">
        <v>33</v>
      </c>
      <c r="H50" s="5">
        <v>1</v>
      </c>
      <c r="I50" s="9">
        <f t="shared" si="1"/>
        <v>1909.12</v>
      </c>
      <c r="J50" s="13" t="s">
        <v>11</v>
      </c>
    </row>
    <row r="51" ht="22.5" customHeight="1" spans="1:10">
      <c r="A51" s="5">
        <v>46</v>
      </c>
      <c r="B51" s="5" t="s">
        <v>31</v>
      </c>
      <c r="C51" s="6" t="s">
        <v>32</v>
      </c>
      <c r="D51" s="6">
        <v>16</v>
      </c>
      <c r="E51" s="49">
        <v>2000</v>
      </c>
      <c r="F51" s="6">
        <v>7310</v>
      </c>
      <c r="G51" s="8" t="s">
        <v>33</v>
      </c>
      <c r="H51" s="5">
        <v>1</v>
      </c>
      <c r="I51" s="9">
        <f t="shared" si="1"/>
        <v>1836.272</v>
      </c>
      <c r="J51" s="13" t="s">
        <v>35</v>
      </c>
    </row>
    <row r="52" ht="22.5" customHeight="1" spans="1:10">
      <c r="A52" s="5">
        <v>47</v>
      </c>
      <c r="B52" s="5" t="s">
        <v>31</v>
      </c>
      <c r="C52" s="6" t="s">
        <v>32</v>
      </c>
      <c r="D52" s="6">
        <v>16</v>
      </c>
      <c r="E52" s="49">
        <v>2000</v>
      </c>
      <c r="F52" s="6">
        <v>7600</v>
      </c>
      <c r="G52" s="8" t="s">
        <v>33</v>
      </c>
      <c r="H52" s="5">
        <v>2</v>
      </c>
      <c r="I52" s="9">
        <f t="shared" si="1"/>
        <v>3818.24</v>
      </c>
      <c r="J52" s="13" t="s">
        <v>11</v>
      </c>
    </row>
    <row r="53" ht="22.5" customHeight="1" spans="1:10">
      <c r="A53" s="5">
        <v>48</v>
      </c>
      <c r="B53" s="5" t="s">
        <v>31</v>
      </c>
      <c r="C53" s="6" t="s">
        <v>32</v>
      </c>
      <c r="D53" s="6">
        <v>16</v>
      </c>
      <c r="E53" s="49">
        <v>2000</v>
      </c>
      <c r="F53" s="6">
        <v>7610</v>
      </c>
      <c r="G53" s="8" t="s">
        <v>33</v>
      </c>
      <c r="H53" s="5">
        <v>1</v>
      </c>
      <c r="I53" s="9">
        <f t="shared" si="1"/>
        <v>1911.632</v>
      </c>
      <c r="J53" s="13" t="s">
        <v>11</v>
      </c>
    </row>
    <row r="54" ht="22.5" customHeight="1" spans="1:10">
      <c r="A54" s="5">
        <v>49</v>
      </c>
      <c r="B54" s="5" t="s">
        <v>31</v>
      </c>
      <c r="C54" s="6" t="s">
        <v>32</v>
      </c>
      <c r="D54" s="6">
        <v>16</v>
      </c>
      <c r="E54" s="49">
        <v>2000</v>
      </c>
      <c r="F54" s="6">
        <v>7689.99999999999</v>
      </c>
      <c r="G54" s="8" t="s">
        <v>33</v>
      </c>
      <c r="H54" s="5">
        <v>1</v>
      </c>
      <c r="I54" s="9">
        <f t="shared" si="1"/>
        <v>1931.728</v>
      </c>
      <c r="J54" s="13" t="s">
        <v>35</v>
      </c>
    </row>
    <row r="55" ht="22.5" customHeight="1" spans="1:10">
      <c r="A55" s="5">
        <v>50</v>
      </c>
      <c r="B55" s="5" t="s">
        <v>31</v>
      </c>
      <c r="C55" s="6" t="s">
        <v>32</v>
      </c>
      <c r="D55" s="6">
        <v>16</v>
      </c>
      <c r="E55" s="49">
        <v>2000</v>
      </c>
      <c r="F55" s="6">
        <v>9710</v>
      </c>
      <c r="G55" s="8" t="s">
        <v>33</v>
      </c>
      <c r="H55" s="5">
        <v>1</v>
      </c>
      <c r="I55" s="9">
        <f t="shared" si="1"/>
        <v>2439.152</v>
      </c>
      <c r="J55" s="13" t="s">
        <v>35</v>
      </c>
    </row>
    <row r="56" ht="22.5" customHeight="1" spans="1:10">
      <c r="A56" s="5">
        <v>51</v>
      </c>
      <c r="B56" s="5" t="s">
        <v>31</v>
      </c>
      <c r="C56" s="6" t="s">
        <v>32</v>
      </c>
      <c r="D56" s="6">
        <v>16</v>
      </c>
      <c r="E56" s="49">
        <v>2000</v>
      </c>
      <c r="F56" s="6">
        <v>7490</v>
      </c>
      <c r="G56" s="8" t="s">
        <v>33</v>
      </c>
      <c r="H56" s="5">
        <v>1</v>
      </c>
      <c r="I56" s="9">
        <f t="shared" si="1"/>
        <v>1881.488</v>
      </c>
      <c r="J56" s="13" t="s">
        <v>35</v>
      </c>
    </row>
    <row r="57" ht="22.5" customHeight="1" spans="1:10">
      <c r="A57" s="5">
        <v>52</v>
      </c>
      <c r="B57" s="5" t="s">
        <v>31</v>
      </c>
      <c r="C57" s="6" t="s">
        <v>32</v>
      </c>
      <c r="D57" s="6">
        <v>16</v>
      </c>
      <c r="E57" s="49">
        <v>2000</v>
      </c>
      <c r="F57" s="6">
        <v>7660</v>
      </c>
      <c r="G57" s="8" t="s">
        <v>33</v>
      </c>
      <c r="H57" s="5">
        <v>1</v>
      </c>
      <c r="I57" s="9">
        <f t="shared" si="1"/>
        <v>1924.192</v>
      </c>
      <c r="J57" s="13" t="s">
        <v>11</v>
      </c>
    </row>
    <row r="58" ht="22.5" customHeight="1" spans="1:10">
      <c r="A58" s="5">
        <v>53</v>
      </c>
      <c r="B58" s="5" t="s">
        <v>31</v>
      </c>
      <c r="C58" s="6" t="s">
        <v>32</v>
      </c>
      <c r="D58" s="6">
        <v>16</v>
      </c>
      <c r="E58" s="49">
        <v>2000</v>
      </c>
      <c r="F58" s="6">
        <v>7710</v>
      </c>
      <c r="G58" s="8" t="s">
        <v>33</v>
      </c>
      <c r="H58" s="5">
        <v>1</v>
      </c>
      <c r="I58" s="9">
        <f t="shared" si="1"/>
        <v>1936.752</v>
      </c>
      <c r="J58" s="13" t="s">
        <v>11</v>
      </c>
    </row>
    <row r="59" ht="22.5" customHeight="1" spans="1:10">
      <c r="A59" s="5">
        <v>54</v>
      </c>
      <c r="B59" s="5" t="s">
        <v>31</v>
      </c>
      <c r="C59" s="6" t="s">
        <v>32</v>
      </c>
      <c r="D59" s="6">
        <v>16</v>
      </c>
      <c r="E59" s="49">
        <v>2000</v>
      </c>
      <c r="F59" s="6">
        <v>10160</v>
      </c>
      <c r="G59" s="8" t="s">
        <v>33</v>
      </c>
      <c r="H59" s="5">
        <v>6</v>
      </c>
      <c r="I59" s="9">
        <f t="shared" si="1"/>
        <v>15313.152</v>
      </c>
      <c r="J59" s="13" t="s">
        <v>19</v>
      </c>
    </row>
    <row r="60" ht="22.5" customHeight="1" spans="1:10">
      <c r="A60" s="5">
        <v>55</v>
      </c>
      <c r="B60" s="5" t="s">
        <v>31</v>
      </c>
      <c r="C60" s="6" t="s">
        <v>39</v>
      </c>
      <c r="D60" s="6">
        <v>16</v>
      </c>
      <c r="E60" s="49">
        <v>2000</v>
      </c>
      <c r="F60" s="6">
        <v>12200</v>
      </c>
      <c r="G60" s="8" t="s">
        <v>33</v>
      </c>
      <c r="H60" s="5">
        <v>1</v>
      </c>
      <c r="I60" s="9">
        <f t="shared" si="1"/>
        <v>3064.64</v>
      </c>
      <c r="J60" s="13" t="s">
        <v>38</v>
      </c>
    </row>
    <row r="61" ht="22.5" customHeight="1" spans="1:10">
      <c r="A61" s="5">
        <v>56</v>
      </c>
      <c r="B61" s="5" t="s">
        <v>31</v>
      </c>
      <c r="C61" s="6" t="s">
        <v>32</v>
      </c>
      <c r="D61" s="6">
        <v>16</v>
      </c>
      <c r="E61" s="49">
        <v>2000</v>
      </c>
      <c r="F61" s="6">
        <v>7420</v>
      </c>
      <c r="G61" s="8" t="s">
        <v>33</v>
      </c>
      <c r="H61" s="5">
        <v>14</v>
      </c>
      <c r="I61" s="9">
        <f t="shared" si="1"/>
        <v>26094.656</v>
      </c>
      <c r="J61" s="13" t="s">
        <v>11</v>
      </c>
    </row>
    <row r="62" ht="22.5" customHeight="1" spans="1:10">
      <c r="A62" s="5">
        <v>57</v>
      </c>
      <c r="B62" s="5" t="s">
        <v>31</v>
      </c>
      <c r="C62" s="6" t="s">
        <v>32</v>
      </c>
      <c r="D62" s="6">
        <v>16</v>
      </c>
      <c r="E62" s="49">
        <v>2000</v>
      </c>
      <c r="F62" s="6">
        <v>9700</v>
      </c>
      <c r="G62" s="8" t="s">
        <v>33</v>
      </c>
      <c r="H62" s="5">
        <v>1</v>
      </c>
      <c r="I62" s="9">
        <f t="shared" si="1"/>
        <v>2436.64</v>
      </c>
      <c r="J62" s="13" t="s">
        <v>11</v>
      </c>
    </row>
    <row r="63" ht="22.5" customHeight="1" spans="1:10">
      <c r="A63" s="5">
        <v>58</v>
      </c>
      <c r="B63" s="5" t="s">
        <v>31</v>
      </c>
      <c r="C63" s="6" t="s">
        <v>32</v>
      </c>
      <c r="D63" s="6">
        <v>16</v>
      </c>
      <c r="E63" s="49">
        <v>2000</v>
      </c>
      <c r="F63" s="6">
        <v>10010</v>
      </c>
      <c r="G63" s="8" t="s">
        <v>33</v>
      </c>
      <c r="H63" s="5">
        <v>1</v>
      </c>
      <c r="I63" s="9">
        <f t="shared" si="1"/>
        <v>2514.512</v>
      </c>
      <c r="J63" s="13" t="s">
        <v>34</v>
      </c>
    </row>
    <row r="64" ht="22.5" customHeight="1" spans="1:10">
      <c r="A64" s="5">
        <v>59</v>
      </c>
      <c r="B64" s="5" t="s">
        <v>31</v>
      </c>
      <c r="C64" s="6" t="s">
        <v>32</v>
      </c>
      <c r="D64" s="6">
        <v>16</v>
      </c>
      <c r="E64" s="49">
        <v>2000</v>
      </c>
      <c r="F64" s="6">
        <v>8010</v>
      </c>
      <c r="G64" s="8" t="s">
        <v>33</v>
      </c>
      <c r="H64" s="5">
        <v>1</v>
      </c>
      <c r="I64" s="9">
        <f t="shared" si="1"/>
        <v>2012.112</v>
      </c>
      <c r="J64" s="13" t="s">
        <v>34</v>
      </c>
    </row>
    <row r="65" ht="22.5" customHeight="1" spans="1:10">
      <c r="A65" s="5">
        <v>60</v>
      </c>
      <c r="B65" s="5" t="s">
        <v>31</v>
      </c>
      <c r="C65" s="6" t="s">
        <v>32</v>
      </c>
      <c r="D65" s="6">
        <v>16</v>
      </c>
      <c r="E65" s="49">
        <v>2000</v>
      </c>
      <c r="F65" s="6">
        <v>8010</v>
      </c>
      <c r="G65" s="8" t="s">
        <v>33</v>
      </c>
      <c r="H65" s="5">
        <v>1</v>
      </c>
      <c r="I65" s="9">
        <f t="shared" si="1"/>
        <v>2012.112</v>
      </c>
      <c r="J65" s="13" t="s">
        <v>36</v>
      </c>
    </row>
    <row r="66" ht="22.5" customHeight="1" spans="1:10">
      <c r="A66" s="5">
        <v>61</v>
      </c>
      <c r="B66" s="5" t="s">
        <v>31</v>
      </c>
      <c r="C66" s="6" t="s">
        <v>32</v>
      </c>
      <c r="D66" s="6">
        <v>16</v>
      </c>
      <c r="E66" s="49">
        <v>2000</v>
      </c>
      <c r="F66" s="6">
        <v>8020</v>
      </c>
      <c r="G66" s="8" t="s">
        <v>33</v>
      </c>
      <c r="H66" s="5">
        <v>2</v>
      </c>
      <c r="I66" s="9">
        <f t="shared" si="1"/>
        <v>4029.248</v>
      </c>
      <c r="J66" s="13" t="s">
        <v>34</v>
      </c>
    </row>
    <row r="67" ht="22.5" customHeight="1" spans="1:10">
      <c r="A67" s="5">
        <v>62</v>
      </c>
      <c r="B67" s="5" t="s">
        <v>31</v>
      </c>
      <c r="C67" s="6" t="s">
        <v>32</v>
      </c>
      <c r="D67" s="6">
        <v>16</v>
      </c>
      <c r="E67" s="49">
        <v>2000</v>
      </c>
      <c r="F67" s="6">
        <v>8020</v>
      </c>
      <c r="G67" s="8" t="s">
        <v>33</v>
      </c>
      <c r="H67" s="5">
        <v>2</v>
      </c>
      <c r="I67" s="9">
        <f t="shared" si="1"/>
        <v>4029.248</v>
      </c>
      <c r="J67" s="13" t="s">
        <v>36</v>
      </c>
    </row>
    <row r="68" ht="22.5" customHeight="1" spans="1:10">
      <c r="A68" s="5" t="s">
        <v>40</v>
      </c>
      <c r="B68" s="5"/>
      <c r="C68" s="5"/>
      <c r="D68" s="5"/>
      <c r="E68" s="5"/>
      <c r="F68" s="5"/>
      <c r="G68" s="5"/>
      <c r="H68" s="5"/>
      <c r="I68" s="51">
        <f>SUM(I6:I67)</f>
        <v>200526.8998</v>
      </c>
      <c r="J68" s="13"/>
    </row>
    <row r="69" ht="22.5" customHeight="1" spans="1:10">
      <c r="A69" s="22" t="s">
        <v>41</v>
      </c>
      <c r="B69" s="22"/>
      <c r="C69" s="22"/>
      <c r="D69" s="22"/>
      <c r="E69" s="22"/>
      <c r="F69" s="22"/>
      <c r="G69" s="22"/>
      <c r="H69" s="22"/>
      <c r="I69" s="22"/>
      <c r="J69" s="22"/>
    </row>
    <row r="70" ht="22.5" customHeight="1" spans="1:10">
      <c r="A70" s="22" t="s">
        <v>91</v>
      </c>
      <c r="B70" s="22"/>
      <c r="C70" s="22"/>
      <c r="D70" s="22"/>
      <c r="E70" s="22"/>
      <c r="F70" s="22"/>
      <c r="G70" s="22"/>
      <c r="H70" s="22"/>
      <c r="I70" s="22"/>
      <c r="J70" s="22"/>
    </row>
    <row r="71" ht="30" customHeight="1" spans="1:10">
      <c r="A71" s="16" t="s">
        <v>74</v>
      </c>
      <c r="B71" s="17"/>
      <c r="C71" s="17"/>
      <c r="D71" s="17"/>
      <c r="E71" s="17"/>
      <c r="F71" s="17"/>
      <c r="G71" s="17"/>
      <c r="H71" s="17"/>
      <c r="I71" s="17"/>
      <c r="J71" s="17"/>
    </row>
  </sheetData>
  <autoFilter ref="A5:J71">
    <extLst/>
  </autoFilter>
  <mergeCells count="7">
    <mergeCell ref="A1:J1"/>
    <mergeCell ref="A2:J2"/>
    <mergeCell ref="A3:F3"/>
    <mergeCell ref="A68:H68"/>
    <mergeCell ref="A69:J69"/>
    <mergeCell ref="A70:J70"/>
    <mergeCell ref="A71:J71"/>
  </mergeCells>
  <pageMargins left="0.751388888888889" right="0.751388888888889" top="0.865972222222222" bottom="0.786805555555556" header="0.5" footer="0.5"/>
  <pageSetup paperSize="9" scale="86" fitToHeight="0" orientation="portrait"/>
  <headerFooter>
    <oddFooter>&amp;C第 &amp;P 页，共 &amp;N 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pageSetUpPr fitToPage="1"/>
  </sheetPr>
  <dimension ref="A1:J80"/>
  <sheetViews>
    <sheetView topLeftCell="A52" workbookViewId="0">
      <selection activeCell="F21" sqref="F21"/>
    </sheetView>
  </sheetViews>
  <sheetFormatPr defaultColWidth="9" defaultRowHeight="13.5"/>
  <cols>
    <col min="1" max="2" width="8.625" customWidth="1"/>
    <col min="3" max="3" width="10.375" customWidth="1"/>
    <col min="4" max="6" width="11" customWidth="1"/>
    <col min="7" max="8" width="8.625" customWidth="1"/>
    <col min="9" max="9" width="12.875" style="147" customWidth="1"/>
    <col min="10" max="10" width="11.625" customWidth="1"/>
    <col min="11" max="11" width="12.625"/>
    <col min="12" max="12" width="13.75"/>
  </cols>
  <sheetData>
    <row r="1" ht="28.5" customHeight="1" spans="1:10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</row>
    <row r="2" ht="28.5" customHeight="1" spans="1:10">
      <c r="A2" s="15" t="s">
        <v>20</v>
      </c>
      <c r="B2" s="15"/>
      <c r="C2" s="15"/>
      <c r="D2" s="15"/>
      <c r="E2" s="15"/>
      <c r="F2" s="15"/>
      <c r="G2" s="15"/>
      <c r="H2" s="15"/>
      <c r="I2" s="15"/>
      <c r="J2" s="15"/>
    </row>
    <row r="3" ht="22.5" customHeight="1" spans="1:10">
      <c r="A3" s="16" t="s">
        <v>21</v>
      </c>
      <c r="B3" s="17"/>
      <c r="C3" s="17"/>
      <c r="D3" s="17"/>
      <c r="E3" s="17"/>
      <c r="F3" s="17"/>
      <c r="G3" s="17"/>
      <c r="H3" s="17"/>
      <c r="I3" s="44"/>
      <c r="J3" s="26"/>
    </row>
    <row r="4" ht="22.5" customHeight="1" spans="1:10">
      <c r="A4" s="18" t="s">
        <v>92</v>
      </c>
      <c r="B4" s="19"/>
      <c r="C4" s="19"/>
      <c r="D4" s="17"/>
      <c r="E4" s="19"/>
      <c r="F4" s="19"/>
      <c r="G4" s="17"/>
      <c r="H4" s="17"/>
      <c r="I4" s="45"/>
      <c r="J4" s="26"/>
    </row>
    <row r="5" ht="22.5" customHeight="1" spans="1:10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4" t="s">
        <v>29</v>
      </c>
      <c r="J5" s="11" t="s">
        <v>30</v>
      </c>
    </row>
    <row r="6" ht="22.5" customHeight="1" spans="1:10">
      <c r="A6" s="5">
        <v>1</v>
      </c>
      <c r="B6" s="5" t="s">
        <v>31</v>
      </c>
      <c r="C6" s="6" t="s">
        <v>32</v>
      </c>
      <c r="D6" s="6">
        <v>12</v>
      </c>
      <c r="E6" s="49">
        <v>1500</v>
      </c>
      <c r="F6" s="6">
        <v>8550</v>
      </c>
      <c r="G6" s="8" t="s">
        <v>33</v>
      </c>
      <c r="H6" s="5">
        <v>1</v>
      </c>
      <c r="I6" s="148">
        <f>H6*F6*E6*D6*7.85/1000000</f>
        <v>1208.115</v>
      </c>
      <c r="J6" s="13" t="s">
        <v>17</v>
      </c>
    </row>
    <row r="7" ht="22.5" customHeight="1" spans="1:10">
      <c r="A7" s="5">
        <v>2</v>
      </c>
      <c r="B7" s="5" t="s">
        <v>31</v>
      </c>
      <c r="C7" s="6" t="s">
        <v>32</v>
      </c>
      <c r="D7" s="6">
        <v>12</v>
      </c>
      <c r="E7" s="49">
        <v>2000</v>
      </c>
      <c r="F7" s="6">
        <v>6860</v>
      </c>
      <c r="G7" s="8" t="s">
        <v>33</v>
      </c>
      <c r="H7" s="5">
        <v>2</v>
      </c>
      <c r="I7" s="148">
        <f t="shared" ref="I7:I70" si="0">H7*F7*E7*D7*7.85/1000000</f>
        <v>2584.848</v>
      </c>
      <c r="J7" s="13" t="s">
        <v>15</v>
      </c>
    </row>
    <row r="8" ht="22.5" customHeight="1" spans="1:10">
      <c r="A8" s="5">
        <v>3</v>
      </c>
      <c r="B8" s="5" t="s">
        <v>31</v>
      </c>
      <c r="C8" s="6" t="s">
        <v>32</v>
      </c>
      <c r="D8" s="6">
        <v>12</v>
      </c>
      <c r="E8" s="49">
        <v>2000</v>
      </c>
      <c r="F8" s="6">
        <v>7550</v>
      </c>
      <c r="G8" s="8" t="s">
        <v>33</v>
      </c>
      <c r="H8" s="5">
        <v>1</v>
      </c>
      <c r="I8" s="148">
        <f t="shared" si="0"/>
        <v>1422.42</v>
      </c>
      <c r="J8" s="13" t="s">
        <v>16</v>
      </c>
    </row>
    <row r="9" ht="22.5" customHeight="1" spans="1:10">
      <c r="A9" s="5">
        <v>4</v>
      </c>
      <c r="B9" s="5" t="s">
        <v>31</v>
      </c>
      <c r="C9" s="6" t="s">
        <v>32</v>
      </c>
      <c r="D9" s="6">
        <v>12</v>
      </c>
      <c r="E9" s="49">
        <v>2000</v>
      </c>
      <c r="F9" s="6">
        <v>10030</v>
      </c>
      <c r="G9" s="8" t="s">
        <v>33</v>
      </c>
      <c r="H9" s="5">
        <v>2</v>
      </c>
      <c r="I9" s="148">
        <f t="shared" si="0"/>
        <v>3779.304</v>
      </c>
      <c r="J9" s="13" t="s">
        <v>16</v>
      </c>
    </row>
    <row r="10" ht="22.5" customHeight="1" spans="1:10">
      <c r="A10" s="5">
        <v>5</v>
      </c>
      <c r="B10" s="5" t="s">
        <v>31</v>
      </c>
      <c r="C10" s="6" t="s">
        <v>32</v>
      </c>
      <c r="D10" s="6">
        <v>12</v>
      </c>
      <c r="E10" s="49">
        <v>2000</v>
      </c>
      <c r="F10" s="6">
        <v>10000</v>
      </c>
      <c r="G10" s="8" t="s">
        <v>33</v>
      </c>
      <c r="H10" s="5">
        <v>1</v>
      </c>
      <c r="I10" s="148">
        <f t="shared" si="0"/>
        <v>1884</v>
      </c>
      <c r="J10" s="13" t="s">
        <v>52</v>
      </c>
    </row>
    <row r="11" ht="22.5" customHeight="1" spans="1:10">
      <c r="A11" s="5">
        <v>6</v>
      </c>
      <c r="B11" s="5" t="s">
        <v>31</v>
      </c>
      <c r="C11" s="6" t="s">
        <v>32</v>
      </c>
      <c r="D11" s="6">
        <v>16</v>
      </c>
      <c r="E11" s="49">
        <v>1500</v>
      </c>
      <c r="F11" s="6">
        <v>8010</v>
      </c>
      <c r="G11" s="8" t="s">
        <v>33</v>
      </c>
      <c r="H11" s="5">
        <v>1</v>
      </c>
      <c r="I11" s="148">
        <f t="shared" si="0"/>
        <v>1509.084</v>
      </c>
      <c r="J11" s="13" t="s">
        <v>34</v>
      </c>
    </row>
    <row r="12" ht="22.5" customHeight="1" spans="1:10">
      <c r="A12" s="5">
        <v>7</v>
      </c>
      <c r="B12" s="5" t="s">
        <v>31</v>
      </c>
      <c r="C12" s="6" t="s">
        <v>32</v>
      </c>
      <c r="D12" s="6">
        <v>16</v>
      </c>
      <c r="E12" s="49">
        <v>1500</v>
      </c>
      <c r="F12" s="6">
        <v>8020</v>
      </c>
      <c r="G12" s="8" t="s">
        <v>33</v>
      </c>
      <c r="H12" s="5">
        <v>1</v>
      </c>
      <c r="I12" s="148">
        <f t="shared" si="0"/>
        <v>1510.968</v>
      </c>
      <c r="J12" s="13" t="s">
        <v>34</v>
      </c>
    </row>
    <row r="13" ht="22.5" customHeight="1" spans="1:10">
      <c r="A13" s="5">
        <v>8</v>
      </c>
      <c r="B13" s="5" t="s">
        <v>31</v>
      </c>
      <c r="C13" s="6" t="s">
        <v>32</v>
      </c>
      <c r="D13" s="6">
        <v>16</v>
      </c>
      <c r="E13" s="49">
        <v>1500</v>
      </c>
      <c r="F13" s="6">
        <v>8030</v>
      </c>
      <c r="G13" s="8" t="s">
        <v>33</v>
      </c>
      <c r="H13" s="5">
        <v>2</v>
      </c>
      <c r="I13" s="148">
        <f t="shared" si="0"/>
        <v>3025.704</v>
      </c>
      <c r="J13" s="13" t="s">
        <v>34</v>
      </c>
    </row>
    <row r="14" ht="22.5" customHeight="1" spans="1:10">
      <c r="A14" s="5">
        <v>9</v>
      </c>
      <c r="B14" s="5" t="s">
        <v>31</v>
      </c>
      <c r="C14" s="6" t="s">
        <v>32</v>
      </c>
      <c r="D14" s="6">
        <v>16</v>
      </c>
      <c r="E14" s="49">
        <v>1500</v>
      </c>
      <c r="F14" s="6">
        <v>8040</v>
      </c>
      <c r="G14" s="8" t="s">
        <v>33</v>
      </c>
      <c r="H14" s="5">
        <v>3</v>
      </c>
      <c r="I14" s="148">
        <f t="shared" si="0"/>
        <v>4544.208</v>
      </c>
      <c r="J14" s="13" t="s">
        <v>34</v>
      </c>
    </row>
    <row r="15" ht="22.5" customHeight="1" spans="1:10">
      <c r="A15" s="5">
        <v>10</v>
      </c>
      <c r="B15" s="5" t="s">
        <v>31</v>
      </c>
      <c r="C15" s="6" t="s">
        <v>32</v>
      </c>
      <c r="D15" s="6">
        <v>16</v>
      </c>
      <c r="E15" s="49">
        <v>1500</v>
      </c>
      <c r="F15" s="6">
        <v>9490</v>
      </c>
      <c r="G15" s="8" t="s">
        <v>33</v>
      </c>
      <c r="H15" s="5">
        <v>1</v>
      </c>
      <c r="I15" s="148">
        <f t="shared" si="0"/>
        <v>1787.916</v>
      </c>
      <c r="J15" s="13" t="s">
        <v>34</v>
      </c>
    </row>
    <row r="16" ht="22.5" customHeight="1" spans="1:10">
      <c r="A16" s="5">
        <v>11</v>
      </c>
      <c r="B16" s="5" t="s">
        <v>31</v>
      </c>
      <c r="C16" s="6" t="s">
        <v>32</v>
      </c>
      <c r="D16" s="6">
        <v>16</v>
      </c>
      <c r="E16" s="49">
        <v>1800</v>
      </c>
      <c r="F16" s="6">
        <v>8140</v>
      </c>
      <c r="G16" s="8" t="s">
        <v>33</v>
      </c>
      <c r="H16" s="5">
        <v>1</v>
      </c>
      <c r="I16" s="148">
        <f t="shared" si="0"/>
        <v>1840.2912</v>
      </c>
      <c r="J16" s="13" t="s">
        <v>34</v>
      </c>
    </row>
    <row r="17" ht="22.5" customHeight="1" spans="1:10">
      <c r="A17" s="5">
        <v>12</v>
      </c>
      <c r="B17" s="5" t="s">
        <v>31</v>
      </c>
      <c r="C17" s="6" t="s">
        <v>32</v>
      </c>
      <c r="D17" s="6">
        <v>16</v>
      </c>
      <c r="E17" s="49">
        <v>1800</v>
      </c>
      <c r="F17" s="6">
        <v>11850</v>
      </c>
      <c r="G17" s="8" t="s">
        <v>33</v>
      </c>
      <c r="H17" s="5">
        <v>1</v>
      </c>
      <c r="I17" s="148">
        <f t="shared" si="0"/>
        <v>2679.048</v>
      </c>
      <c r="J17" s="13" t="s">
        <v>34</v>
      </c>
    </row>
    <row r="18" ht="22.5" customHeight="1" spans="1:10">
      <c r="A18" s="5">
        <v>13</v>
      </c>
      <c r="B18" s="5" t="s">
        <v>31</v>
      </c>
      <c r="C18" s="6" t="s">
        <v>32</v>
      </c>
      <c r="D18" s="6">
        <v>16</v>
      </c>
      <c r="E18" s="49">
        <v>1800</v>
      </c>
      <c r="F18" s="6">
        <v>7630</v>
      </c>
      <c r="G18" s="8" t="s">
        <v>33</v>
      </c>
      <c r="H18" s="5">
        <v>2</v>
      </c>
      <c r="I18" s="148">
        <f t="shared" si="0"/>
        <v>3449.9808</v>
      </c>
      <c r="J18" s="13" t="s">
        <v>36</v>
      </c>
    </row>
    <row r="19" ht="22.5" customHeight="1" spans="1:10">
      <c r="A19" s="5">
        <v>14</v>
      </c>
      <c r="B19" s="5" t="s">
        <v>31</v>
      </c>
      <c r="C19" s="6" t="s">
        <v>32</v>
      </c>
      <c r="D19" s="6">
        <v>16</v>
      </c>
      <c r="E19" s="49">
        <v>1800</v>
      </c>
      <c r="F19" s="6">
        <v>8030</v>
      </c>
      <c r="G19" s="8" t="s">
        <v>33</v>
      </c>
      <c r="H19" s="5">
        <v>2</v>
      </c>
      <c r="I19" s="148">
        <f t="shared" si="0"/>
        <v>3630.8448</v>
      </c>
      <c r="J19" s="13" t="s">
        <v>36</v>
      </c>
    </row>
    <row r="20" ht="22.5" customHeight="1" spans="1:10">
      <c r="A20" s="5">
        <v>15</v>
      </c>
      <c r="B20" s="5" t="s">
        <v>31</v>
      </c>
      <c r="C20" s="6" t="s">
        <v>32</v>
      </c>
      <c r="D20" s="6">
        <v>16</v>
      </c>
      <c r="E20" s="49">
        <v>1800</v>
      </c>
      <c r="F20" s="6">
        <v>8040</v>
      </c>
      <c r="G20" s="8" t="s">
        <v>33</v>
      </c>
      <c r="H20" s="5">
        <v>1</v>
      </c>
      <c r="I20" s="148">
        <f t="shared" si="0"/>
        <v>1817.6832</v>
      </c>
      <c r="J20" s="13" t="s">
        <v>36</v>
      </c>
    </row>
    <row r="21" ht="22.5" customHeight="1" spans="1:10">
      <c r="A21" s="5">
        <v>16</v>
      </c>
      <c r="B21" s="5" t="s">
        <v>31</v>
      </c>
      <c r="C21" s="6" t="s">
        <v>32</v>
      </c>
      <c r="D21" s="6">
        <v>16</v>
      </c>
      <c r="E21" s="49">
        <v>1800</v>
      </c>
      <c r="F21" s="6">
        <v>7650</v>
      </c>
      <c r="G21" s="8" t="s">
        <v>33</v>
      </c>
      <c r="H21" s="5">
        <v>1</v>
      </c>
      <c r="I21" s="148">
        <f t="shared" si="0"/>
        <v>1729.512</v>
      </c>
      <c r="J21" s="13" t="s">
        <v>36</v>
      </c>
    </row>
    <row r="22" ht="22.5" customHeight="1" spans="1:10">
      <c r="A22" s="5">
        <v>17</v>
      </c>
      <c r="B22" s="5" t="s">
        <v>31</v>
      </c>
      <c r="C22" s="6" t="s">
        <v>32</v>
      </c>
      <c r="D22" s="6">
        <v>16</v>
      </c>
      <c r="E22" s="49">
        <v>1800</v>
      </c>
      <c r="F22" s="6">
        <v>8050</v>
      </c>
      <c r="G22" s="8" t="s">
        <v>33</v>
      </c>
      <c r="H22" s="5">
        <v>1</v>
      </c>
      <c r="I22" s="148">
        <f t="shared" si="0"/>
        <v>1819.944</v>
      </c>
      <c r="J22" s="13" t="s">
        <v>36</v>
      </c>
    </row>
    <row r="23" ht="22.5" customHeight="1" spans="1:10">
      <c r="A23" s="5">
        <v>18</v>
      </c>
      <c r="B23" s="5" t="s">
        <v>31</v>
      </c>
      <c r="C23" s="6" t="s">
        <v>32</v>
      </c>
      <c r="D23" s="6">
        <v>16</v>
      </c>
      <c r="E23" s="49">
        <v>1800</v>
      </c>
      <c r="F23" s="6">
        <v>9490</v>
      </c>
      <c r="G23" s="8" t="s">
        <v>33</v>
      </c>
      <c r="H23" s="5">
        <v>1</v>
      </c>
      <c r="I23" s="148">
        <f t="shared" si="0"/>
        <v>2145.4992</v>
      </c>
      <c r="J23" s="13" t="s">
        <v>36</v>
      </c>
    </row>
    <row r="24" ht="22.5" customHeight="1" spans="1:10">
      <c r="A24" s="5">
        <v>19</v>
      </c>
      <c r="B24" s="5" t="s">
        <v>31</v>
      </c>
      <c r="C24" s="6" t="s">
        <v>32</v>
      </c>
      <c r="D24" s="6">
        <v>16</v>
      </c>
      <c r="E24" s="49">
        <v>1800</v>
      </c>
      <c r="F24" s="50">
        <v>9720</v>
      </c>
      <c r="G24" s="8" t="s">
        <v>33</v>
      </c>
      <c r="H24" s="5">
        <v>10</v>
      </c>
      <c r="I24" s="148">
        <f t="shared" si="0"/>
        <v>21974.976</v>
      </c>
      <c r="J24" s="13" t="s">
        <v>14</v>
      </c>
    </row>
    <row r="25" ht="22.5" customHeight="1" spans="1:10">
      <c r="A25" s="5">
        <v>20</v>
      </c>
      <c r="B25" s="5" t="s">
        <v>31</v>
      </c>
      <c r="C25" s="6" t="s">
        <v>32</v>
      </c>
      <c r="D25" s="6">
        <v>16</v>
      </c>
      <c r="E25" s="49">
        <v>1800</v>
      </c>
      <c r="F25" s="6">
        <v>7620</v>
      </c>
      <c r="G25" s="8" t="s">
        <v>33</v>
      </c>
      <c r="H25" s="5">
        <v>1</v>
      </c>
      <c r="I25" s="148">
        <f t="shared" si="0"/>
        <v>1722.7296</v>
      </c>
      <c r="J25" s="13" t="s">
        <v>36</v>
      </c>
    </row>
    <row r="26" ht="22.5" customHeight="1" spans="1:10">
      <c r="A26" s="5">
        <v>21</v>
      </c>
      <c r="B26" s="5" t="s">
        <v>31</v>
      </c>
      <c r="C26" s="6" t="s">
        <v>32</v>
      </c>
      <c r="D26" s="6">
        <v>16</v>
      </c>
      <c r="E26" s="49">
        <v>1800</v>
      </c>
      <c r="F26" s="6">
        <v>8020</v>
      </c>
      <c r="G26" s="8" t="s">
        <v>33</v>
      </c>
      <c r="H26" s="5">
        <v>1</v>
      </c>
      <c r="I26" s="148">
        <f t="shared" si="0"/>
        <v>1813.1616</v>
      </c>
      <c r="J26" s="13" t="s">
        <v>36</v>
      </c>
    </row>
    <row r="27" ht="22.5" customHeight="1" spans="1:10">
      <c r="A27" s="5">
        <v>22</v>
      </c>
      <c r="B27" s="5" t="s">
        <v>31</v>
      </c>
      <c r="C27" s="6" t="s">
        <v>32</v>
      </c>
      <c r="D27" s="6">
        <v>16</v>
      </c>
      <c r="E27" s="49">
        <v>1800</v>
      </c>
      <c r="F27" s="6">
        <v>7540</v>
      </c>
      <c r="G27" s="8" t="s">
        <v>33</v>
      </c>
      <c r="H27" s="5">
        <v>1</v>
      </c>
      <c r="I27" s="148">
        <f t="shared" si="0"/>
        <v>1704.6432</v>
      </c>
      <c r="J27" s="13" t="s">
        <v>36</v>
      </c>
    </row>
    <row r="28" ht="22.5" customHeight="1" spans="1:10">
      <c r="A28" s="5">
        <v>23</v>
      </c>
      <c r="B28" s="5" t="s">
        <v>31</v>
      </c>
      <c r="C28" s="6" t="s">
        <v>32</v>
      </c>
      <c r="D28" s="6">
        <v>16</v>
      </c>
      <c r="E28" s="49">
        <v>1800</v>
      </c>
      <c r="F28" s="6">
        <v>7770</v>
      </c>
      <c r="G28" s="8" t="s">
        <v>33</v>
      </c>
      <c r="H28" s="5">
        <v>1</v>
      </c>
      <c r="I28" s="148">
        <f t="shared" si="0"/>
        <v>1756.6416</v>
      </c>
      <c r="J28" s="13" t="s">
        <v>36</v>
      </c>
    </row>
    <row r="29" ht="22.5" customHeight="1" spans="1:10">
      <c r="A29" s="5">
        <v>24</v>
      </c>
      <c r="B29" s="5" t="s">
        <v>31</v>
      </c>
      <c r="C29" s="6" t="s">
        <v>32</v>
      </c>
      <c r="D29" s="6">
        <v>16</v>
      </c>
      <c r="E29" s="49">
        <v>1800</v>
      </c>
      <c r="F29" s="6">
        <v>7780</v>
      </c>
      <c r="G29" s="8" t="s">
        <v>33</v>
      </c>
      <c r="H29" s="5">
        <v>1</v>
      </c>
      <c r="I29" s="148">
        <f t="shared" si="0"/>
        <v>1758.9024</v>
      </c>
      <c r="J29" s="13" t="s">
        <v>36</v>
      </c>
    </row>
    <row r="30" ht="22.5" customHeight="1" spans="1:10">
      <c r="A30" s="5">
        <v>25</v>
      </c>
      <c r="B30" s="5" t="s">
        <v>31</v>
      </c>
      <c r="C30" s="6" t="s">
        <v>32</v>
      </c>
      <c r="D30" s="6">
        <v>16</v>
      </c>
      <c r="E30" s="49">
        <v>1800</v>
      </c>
      <c r="F30" s="6">
        <v>7940</v>
      </c>
      <c r="G30" s="8" t="s">
        <v>33</v>
      </c>
      <c r="H30" s="5">
        <v>1</v>
      </c>
      <c r="I30" s="148">
        <f t="shared" si="0"/>
        <v>1795.0752</v>
      </c>
      <c r="J30" s="13" t="s">
        <v>36</v>
      </c>
    </row>
    <row r="31" ht="22.5" customHeight="1" spans="1:10">
      <c r="A31" s="5">
        <v>26</v>
      </c>
      <c r="B31" s="5" t="s">
        <v>31</v>
      </c>
      <c r="C31" s="6" t="s">
        <v>32</v>
      </c>
      <c r="D31" s="6">
        <v>16</v>
      </c>
      <c r="E31" s="49">
        <v>1800</v>
      </c>
      <c r="F31" s="6">
        <v>9290</v>
      </c>
      <c r="G31" s="8" t="s">
        <v>33</v>
      </c>
      <c r="H31" s="5">
        <v>1</v>
      </c>
      <c r="I31" s="148">
        <f t="shared" si="0"/>
        <v>2100.2832</v>
      </c>
      <c r="J31" s="13" t="s">
        <v>36</v>
      </c>
    </row>
    <row r="32" ht="22.5" customHeight="1" spans="1:10">
      <c r="A32" s="5">
        <v>27</v>
      </c>
      <c r="B32" s="5" t="s">
        <v>31</v>
      </c>
      <c r="C32" s="6" t="s">
        <v>32</v>
      </c>
      <c r="D32" s="6">
        <v>16</v>
      </c>
      <c r="E32" s="49">
        <v>1800</v>
      </c>
      <c r="F32" s="6">
        <v>7430</v>
      </c>
      <c r="G32" s="8" t="s">
        <v>33</v>
      </c>
      <c r="H32" s="5">
        <v>1</v>
      </c>
      <c r="I32" s="148">
        <f t="shared" si="0"/>
        <v>1679.7744</v>
      </c>
      <c r="J32" s="13" t="s">
        <v>35</v>
      </c>
    </row>
    <row r="33" ht="22.5" customHeight="1" spans="1:10">
      <c r="A33" s="5">
        <v>28</v>
      </c>
      <c r="B33" s="5" t="s">
        <v>31</v>
      </c>
      <c r="C33" s="6" t="s">
        <v>32</v>
      </c>
      <c r="D33" s="6">
        <v>16</v>
      </c>
      <c r="E33" s="49">
        <v>1800</v>
      </c>
      <c r="F33" s="6">
        <v>7920</v>
      </c>
      <c r="G33" s="8" t="s">
        <v>33</v>
      </c>
      <c r="H33" s="5">
        <v>1</v>
      </c>
      <c r="I33" s="148">
        <f t="shared" si="0"/>
        <v>1790.5536</v>
      </c>
      <c r="J33" s="13" t="s">
        <v>36</v>
      </c>
    </row>
    <row r="34" ht="22.5" customHeight="1" spans="1:10">
      <c r="A34" s="5">
        <v>29</v>
      </c>
      <c r="B34" s="5" t="s">
        <v>31</v>
      </c>
      <c r="C34" s="6" t="s">
        <v>32</v>
      </c>
      <c r="D34" s="6">
        <v>16</v>
      </c>
      <c r="E34" s="49">
        <v>1800</v>
      </c>
      <c r="F34" s="6">
        <v>8170</v>
      </c>
      <c r="G34" s="8" t="s">
        <v>33</v>
      </c>
      <c r="H34" s="5">
        <v>1</v>
      </c>
      <c r="I34" s="148">
        <f t="shared" si="0"/>
        <v>1847.0736</v>
      </c>
      <c r="J34" s="13" t="s">
        <v>36</v>
      </c>
    </row>
    <row r="35" ht="22.5" customHeight="1" spans="1:10">
      <c r="A35" s="5">
        <v>30</v>
      </c>
      <c r="B35" s="5" t="s">
        <v>31</v>
      </c>
      <c r="C35" s="6" t="s">
        <v>32</v>
      </c>
      <c r="D35" s="6">
        <v>16</v>
      </c>
      <c r="E35" s="49">
        <v>1800</v>
      </c>
      <c r="F35" s="6">
        <v>8040</v>
      </c>
      <c r="G35" s="8" t="s">
        <v>33</v>
      </c>
      <c r="H35" s="5">
        <v>1</v>
      </c>
      <c r="I35" s="148">
        <f t="shared" si="0"/>
        <v>1817.6832</v>
      </c>
      <c r="J35" s="13" t="s">
        <v>34</v>
      </c>
    </row>
    <row r="36" ht="22.5" customHeight="1" spans="1:10">
      <c r="A36" s="5">
        <v>31</v>
      </c>
      <c r="B36" s="5" t="s">
        <v>31</v>
      </c>
      <c r="C36" s="6" t="s">
        <v>32</v>
      </c>
      <c r="D36" s="6">
        <v>16</v>
      </c>
      <c r="E36" s="49">
        <v>1800</v>
      </c>
      <c r="F36" s="6">
        <v>8600</v>
      </c>
      <c r="G36" s="8" t="s">
        <v>33</v>
      </c>
      <c r="H36" s="5">
        <v>1</v>
      </c>
      <c r="I36" s="148">
        <f t="shared" si="0"/>
        <v>1944.288</v>
      </c>
      <c r="J36" s="13" t="s">
        <v>34</v>
      </c>
    </row>
    <row r="37" ht="22.5" customHeight="1" spans="1:10">
      <c r="A37" s="5">
        <v>32</v>
      </c>
      <c r="B37" s="5" t="s">
        <v>31</v>
      </c>
      <c r="C37" s="6" t="s">
        <v>32</v>
      </c>
      <c r="D37" s="6">
        <v>16</v>
      </c>
      <c r="E37" s="49">
        <v>1800</v>
      </c>
      <c r="F37" s="6">
        <v>7420</v>
      </c>
      <c r="G37" s="8" t="s">
        <v>33</v>
      </c>
      <c r="H37" s="5">
        <v>1</v>
      </c>
      <c r="I37" s="148">
        <f t="shared" si="0"/>
        <v>1677.5136</v>
      </c>
      <c r="J37" s="13" t="s">
        <v>11</v>
      </c>
    </row>
    <row r="38" ht="22.5" customHeight="1" spans="1:10">
      <c r="A38" s="5">
        <v>33</v>
      </c>
      <c r="B38" s="5" t="s">
        <v>31</v>
      </c>
      <c r="C38" s="6" t="s">
        <v>32</v>
      </c>
      <c r="D38" s="6">
        <v>16</v>
      </c>
      <c r="E38" s="49">
        <v>1800</v>
      </c>
      <c r="F38" s="6">
        <v>7430</v>
      </c>
      <c r="G38" s="8" t="s">
        <v>33</v>
      </c>
      <c r="H38" s="5">
        <v>2</v>
      </c>
      <c r="I38" s="148">
        <f t="shared" si="0"/>
        <v>3359.5488</v>
      </c>
      <c r="J38" s="13" t="s">
        <v>11</v>
      </c>
    </row>
    <row r="39" ht="22.5" customHeight="1" spans="1:10">
      <c r="A39" s="5">
        <v>34</v>
      </c>
      <c r="B39" s="5" t="s">
        <v>31</v>
      </c>
      <c r="C39" s="6" t="s">
        <v>32</v>
      </c>
      <c r="D39" s="6">
        <v>16</v>
      </c>
      <c r="E39" s="49">
        <v>1800</v>
      </c>
      <c r="F39" s="6">
        <v>7440</v>
      </c>
      <c r="G39" s="8" t="s">
        <v>33</v>
      </c>
      <c r="H39" s="5">
        <v>1</v>
      </c>
      <c r="I39" s="148">
        <f t="shared" si="0"/>
        <v>1682.0352</v>
      </c>
      <c r="J39" s="13" t="s">
        <v>11</v>
      </c>
    </row>
    <row r="40" ht="22.5" customHeight="1" spans="1:10">
      <c r="A40" s="5">
        <v>35</v>
      </c>
      <c r="B40" s="5" t="s">
        <v>31</v>
      </c>
      <c r="C40" s="6" t="s">
        <v>32</v>
      </c>
      <c r="D40" s="6">
        <v>16</v>
      </c>
      <c r="E40" s="49">
        <v>1800</v>
      </c>
      <c r="F40" s="6">
        <v>7740</v>
      </c>
      <c r="G40" s="8" t="s">
        <v>33</v>
      </c>
      <c r="H40" s="5">
        <v>1</v>
      </c>
      <c r="I40" s="148">
        <f t="shared" si="0"/>
        <v>1749.8592</v>
      </c>
      <c r="J40" s="13" t="s">
        <v>11</v>
      </c>
    </row>
    <row r="41" ht="22.5" customHeight="1" spans="1:10">
      <c r="A41" s="5">
        <v>36</v>
      </c>
      <c r="B41" s="5" t="s">
        <v>31</v>
      </c>
      <c r="C41" s="6" t="s">
        <v>32</v>
      </c>
      <c r="D41" s="6">
        <v>16</v>
      </c>
      <c r="E41" s="49">
        <v>1800</v>
      </c>
      <c r="F41" s="6">
        <v>8070</v>
      </c>
      <c r="G41" s="8" t="s">
        <v>33</v>
      </c>
      <c r="H41" s="5">
        <v>1</v>
      </c>
      <c r="I41" s="148">
        <f t="shared" si="0"/>
        <v>1824.4656</v>
      </c>
      <c r="J41" s="13" t="s">
        <v>34</v>
      </c>
    </row>
    <row r="42" ht="22.5" customHeight="1" spans="1:10">
      <c r="A42" s="5">
        <v>37</v>
      </c>
      <c r="B42" s="5" t="s">
        <v>31</v>
      </c>
      <c r="C42" s="6" t="s">
        <v>32</v>
      </c>
      <c r="D42" s="6">
        <v>16</v>
      </c>
      <c r="E42" s="49">
        <v>1800</v>
      </c>
      <c r="F42" s="6">
        <v>8080</v>
      </c>
      <c r="G42" s="8" t="s">
        <v>33</v>
      </c>
      <c r="H42" s="5">
        <v>1</v>
      </c>
      <c r="I42" s="148">
        <f t="shared" si="0"/>
        <v>1826.7264</v>
      </c>
      <c r="J42" s="13" t="s">
        <v>34</v>
      </c>
    </row>
    <row r="43" ht="22.5" customHeight="1" spans="1:10">
      <c r="A43" s="5">
        <v>38</v>
      </c>
      <c r="B43" s="5" t="s">
        <v>31</v>
      </c>
      <c r="C43" s="6" t="s">
        <v>32</v>
      </c>
      <c r="D43" s="6">
        <v>16</v>
      </c>
      <c r="E43" s="49">
        <v>1800</v>
      </c>
      <c r="F43" s="6">
        <v>8100</v>
      </c>
      <c r="G43" s="8" t="s">
        <v>33</v>
      </c>
      <c r="H43" s="5">
        <v>1</v>
      </c>
      <c r="I43" s="148">
        <f t="shared" si="0"/>
        <v>1831.248</v>
      </c>
      <c r="J43" s="13" t="s">
        <v>34</v>
      </c>
    </row>
    <row r="44" ht="22.5" customHeight="1" spans="1:10">
      <c r="A44" s="5">
        <v>39</v>
      </c>
      <c r="B44" s="5" t="s">
        <v>31</v>
      </c>
      <c r="C44" s="6" t="s">
        <v>32</v>
      </c>
      <c r="D44" s="6">
        <v>16</v>
      </c>
      <c r="E44" s="49">
        <v>1800</v>
      </c>
      <c r="F44" s="6">
        <v>8120</v>
      </c>
      <c r="G44" s="8" t="s">
        <v>33</v>
      </c>
      <c r="H44" s="5">
        <v>1</v>
      </c>
      <c r="I44" s="148">
        <f t="shared" si="0"/>
        <v>1835.7696</v>
      </c>
      <c r="J44" s="13" t="s">
        <v>34</v>
      </c>
    </row>
    <row r="45" ht="22.5" customHeight="1" spans="1:10">
      <c r="A45" s="5">
        <v>40</v>
      </c>
      <c r="B45" s="5" t="s">
        <v>31</v>
      </c>
      <c r="C45" s="6" t="s">
        <v>32</v>
      </c>
      <c r="D45" s="6">
        <v>16</v>
      </c>
      <c r="E45" s="49">
        <v>1800</v>
      </c>
      <c r="F45" s="6">
        <v>8160</v>
      </c>
      <c r="G45" s="8" t="s">
        <v>33</v>
      </c>
      <c r="H45" s="5">
        <v>1</v>
      </c>
      <c r="I45" s="148">
        <f t="shared" si="0"/>
        <v>1844.8128</v>
      </c>
      <c r="J45" s="13" t="s">
        <v>34</v>
      </c>
    </row>
    <row r="46" ht="22.5" customHeight="1" spans="1:10">
      <c r="A46" s="5">
        <v>41</v>
      </c>
      <c r="B46" s="5" t="s">
        <v>31</v>
      </c>
      <c r="C46" s="6" t="s">
        <v>32</v>
      </c>
      <c r="D46" s="6">
        <v>16</v>
      </c>
      <c r="E46" s="49">
        <v>1800</v>
      </c>
      <c r="F46" s="6">
        <v>9190</v>
      </c>
      <c r="G46" s="8" t="s">
        <v>33</v>
      </c>
      <c r="H46" s="5">
        <v>1</v>
      </c>
      <c r="I46" s="148">
        <f t="shared" si="0"/>
        <v>2077.6752</v>
      </c>
      <c r="J46" s="13" t="s">
        <v>11</v>
      </c>
    </row>
    <row r="47" ht="22.5" customHeight="1" spans="1:10">
      <c r="A47" s="5">
        <v>42</v>
      </c>
      <c r="B47" s="5" t="s">
        <v>31</v>
      </c>
      <c r="C47" s="6" t="s">
        <v>32</v>
      </c>
      <c r="D47" s="6">
        <v>16</v>
      </c>
      <c r="E47" s="49">
        <v>1800</v>
      </c>
      <c r="F47" s="6">
        <v>11150</v>
      </c>
      <c r="G47" s="8" t="s">
        <v>33</v>
      </c>
      <c r="H47" s="5">
        <v>1</v>
      </c>
      <c r="I47" s="148">
        <f t="shared" si="0"/>
        <v>2520.792</v>
      </c>
      <c r="J47" s="13" t="s">
        <v>11</v>
      </c>
    </row>
    <row r="48" ht="22.5" customHeight="1" spans="1:10">
      <c r="A48" s="5">
        <v>43</v>
      </c>
      <c r="B48" s="5" t="s">
        <v>31</v>
      </c>
      <c r="C48" s="6" t="s">
        <v>32</v>
      </c>
      <c r="D48" s="6">
        <v>16</v>
      </c>
      <c r="E48" s="49">
        <v>1800</v>
      </c>
      <c r="F48" s="6">
        <v>11710</v>
      </c>
      <c r="G48" s="8" t="s">
        <v>33</v>
      </c>
      <c r="H48" s="5">
        <v>1</v>
      </c>
      <c r="I48" s="148">
        <f t="shared" si="0"/>
        <v>2647.3968</v>
      </c>
      <c r="J48" s="13" t="s">
        <v>34</v>
      </c>
    </row>
    <row r="49" ht="22.5" customHeight="1" spans="1:10">
      <c r="A49" s="5">
        <v>44</v>
      </c>
      <c r="B49" s="5" t="s">
        <v>31</v>
      </c>
      <c r="C49" s="6" t="s">
        <v>32</v>
      </c>
      <c r="D49" s="6">
        <v>16</v>
      </c>
      <c r="E49" s="49">
        <v>1800</v>
      </c>
      <c r="F49" s="6">
        <v>12600</v>
      </c>
      <c r="G49" s="8" t="s">
        <v>33</v>
      </c>
      <c r="H49" s="5">
        <v>1</v>
      </c>
      <c r="I49" s="148">
        <f t="shared" si="0"/>
        <v>2848.608</v>
      </c>
      <c r="J49" s="13" t="s">
        <v>38</v>
      </c>
    </row>
    <row r="50" ht="22.5" customHeight="1" spans="1:10">
      <c r="A50" s="5">
        <v>45</v>
      </c>
      <c r="B50" s="5" t="s">
        <v>31</v>
      </c>
      <c r="C50" s="6" t="s">
        <v>32</v>
      </c>
      <c r="D50" s="6">
        <v>16</v>
      </c>
      <c r="E50" s="49">
        <v>2000</v>
      </c>
      <c r="F50" s="6">
        <v>7450</v>
      </c>
      <c r="G50" s="8" t="s">
        <v>33</v>
      </c>
      <c r="H50" s="5">
        <v>1</v>
      </c>
      <c r="I50" s="148">
        <f t="shared" si="0"/>
        <v>1871.44</v>
      </c>
      <c r="J50" s="13" t="s">
        <v>35</v>
      </c>
    </row>
    <row r="51" ht="22.5" customHeight="1" spans="1:10">
      <c r="A51" s="5">
        <v>46</v>
      </c>
      <c r="B51" s="5" t="s">
        <v>31</v>
      </c>
      <c r="C51" s="6" t="s">
        <v>32</v>
      </c>
      <c r="D51" s="6">
        <v>16</v>
      </c>
      <c r="E51" s="49">
        <v>2000</v>
      </c>
      <c r="F51" s="6">
        <v>7420</v>
      </c>
      <c r="G51" s="8" t="s">
        <v>33</v>
      </c>
      <c r="H51" s="5">
        <v>1</v>
      </c>
      <c r="I51" s="148">
        <f t="shared" si="0"/>
        <v>1863.904</v>
      </c>
      <c r="J51" s="13" t="s">
        <v>35</v>
      </c>
    </row>
    <row r="52" ht="22.5" customHeight="1" spans="1:10">
      <c r="A52" s="5">
        <v>47</v>
      </c>
      <c r="B52" s="5" t="s">
        <v>31</v>
      </c>
      <c r="C52" s="6" t="s">
        <v>32</v>
      </c>
      <c r="D52" s="6">
        <v>16</v>
      </c>
      <c r="E52" s="49">
        <v>2000</v>
      </c>
      <c r="F52" s="6">
        <v>7530</v>
      </c>
      <c r="G52" s="8" t="s">
        <v>33</v>
      </c>
      <c r="H52" s="5">
        <v>1</v>
      </c>
      <c r="I52" s="148">
        <f t="shared" si="0"/>
        <v>1891.536</v>
      </c>
      <c r="J52" s="13" t="s">
        <v>11</v>
      </c>
    </row>
    <row r="53" ht="22.5" customHeight="1" spans="1:10">
      <c r="A53" s="5">
        <v>48</v>
      </c>
      <c r="B53" s="5" t="s">
        <v>31</v>
      </c>
      <c r="C53" s="6" t="s">
        <v>32</v>
      </c>
      <c r="D53" s="6">
        <v>16</v>
      </c>
      <c r="E53" s="49">
        <v>2000</v>
      </c>
      <c r="F53" s="6">
        <v>7580</v>
      </c>
      <c r="G53" s="8" t="s">
        <v>33</v>
      </c>
      <c r="H53" s="5">
        <v>2</v>
      </c>
      <c r="I53" s="148">
        <f t="shared" si="0"/>
        <v>3808.192</v>
      </c>
      <c r="J53" s="13" t="s">
        <v>11</v>
      </c>
    </row>
    <row r="54" ht="22.5" customHeight="1" spans="1:10">
      <c r="A54" s="5">
        <v>49</v>
      </c>
      <c r="B54" s="5" t="s">
        <v>31</v>
      </c>
      <c r="C54" s="6" t="s">
        <v>32</v>
      </c>
      <c r="D54" s="6">
        <v>16</v>
      </c>
      <c r="E54" s="49">
        <v>2000</v>
      </c>
      <c r="F54" s="6">
        <v>10560</v>
      </c>
      <c r="G54" s="8" t="s">
        <v>33</v>
      </c>
      <c r="H54" s="5">
        <v>1</v>
      </c>
      <c r="I54" s="148">
        <f t="shared" si="0"/>
        <v>2652.672</v>
      </c>
      <c r="J54" s="13" t="s">
        <v>36</v>
      </c>
    </row>
    <row r="55" ht="22.5" customHeight="1" spans="1:10">
      <c r="A55" s="5">
        <v>50</v>
      </c>
      <c r="B55" s="5" t="s">
        <v>31</v>
      </c>
      <c r="C55" s="6" t="s">
        <v>32</v>
      </c>
      <c r="D55" s="6">
        <v>16</v>
      </c>
      <c r="E55" s="49">
        <v>2000</v>
      </c>
      <c r="F55" s="6">
        <v>11120</v>
      </c>
      <c r="G55" s="8" t="s">
        <v>33</v>
      </c>
      <c r="H55" s="5">
        <v>1</v>
      </c>
      <c r="I55" s="148">
        <f t="shared" si="0"/>
        <v>2793.344</v>
      </c>
      <c r="J55" s="13" t="s">
        <v>11</v>
      </c>
    </row>
    <row r="56" ht="22.5" customHeight="1" spans="1:10">
      <c r="A56" s="5">
        <v>51</v>
      </c>
      <c r="B56" s="5" t="s">
        <v>31</v>
      </c>
      <c r="C56" s="6" t="s">
        <v>32</v>
      </c>
      <c r="D56" s="6">
        <v>16</v>
      </c>
      <c r="E56" s="49">
        <v>2000</v>
      </c>
      <c r="F56" s="6">
        <v>11280</v>
      </c>
      <c r="G56" s="8" t="s">
        <v>33</v>
      </c>
      <c r="H56" s="5">
        <v>1</v>
      </c>
      <c r="I56" s="148">
        <f t="shared" si="0"/>
        <v>2833.536</v>
      </c>
      <c r="J56" s="13" t="s">
        <v>11</v>
      </c>
    </row>
    <row r="57" ht="22.5" customHeight="1" spans="1:10">
      <c r="A57" s="5">
        <v>52</v>
      </c>
      <c r="B57" s="5" t="s">
        <v>31</v>
      </c>
      <c r="C57" s="6" t="s">
        <v>32</v>
      </c>
      <c r="D57" s="6">
        <v>16</v>
      </c>
      <c r="E57" s="49">
        <v>2000</v>
      </c>
      <c r="F57" s="6">
        <v>11740</v>
      </c>
      <c r="G57" s="8" t="s">
        <v>33</v>
      </c>
      <c r="H57" s="5">
        <v>1</v>
      </c>
      <c r="I57" s="148">
        <f t="shared" si="0"/>
        <v>2949.088</v>
      </c>
      <c r="J57" s="13" t="s">
        <v>35</v>
      </c>
    </row>
    <row r="58" ht="22.5" customHeight="1" spans="1:10">
      <c r="A58" s="5">
        <v>53</v>
      </c>
      <c r="B58" s="5" t="s">
        <v>31</v>
      </c>
      <c r="C58" s="6" t="s">
        <v>32</v>
      </c>
      <c r="D58" s="6">
        <v>16</v>
      </c>
      <c r="E58" s="49">
        <v>2000</v>
      </c>
      <c r="F58" s="6">
        <v>10770</v>
      </c>
      <c r="G58" s="8" t="s">
        <v>33</v>
      </c>
      <c r="H58" s="5">
        <v>1</v>
      </c>
      <c r="I58" s="148">
        <f t="shared" si="0"/>
        <v>2705.424</v>
      </c>
      <c r="J58" s="13" t="s">
        <v>11</v>
      </c>
    </row>
    <row r="59" ht="22.5" customHeight="1" spans="1:10">
      <c r="A59" s="5">
        <v>54</v>
      </c>
      <c r="B59" s="5" t="s">
        <v>31</v>
      </c>
      <c r="C59" s="6" t="s">
        <v>32</v>
      </c>
      <c r="D59" s="6">
        <v>16</v>
      </c>
      <c r="E59" s="49">
        <v>2000</v>
      </c>
      <c r="F59" s="6">
        <v>10890</v>
      </c>
      <c r="G59" s="8" t="s">
        <v>33</v>
      </c>
      <c r="H59" s="5">
        <v>1</v>
      </c>
      <c r="I59" s="148">
        <f t="shared" si="0"/>
        <v>2735.568</v>
      </c>
      <c r="J59" s="13" t="s">
        <v>35</v>
      </c>
    </row>
    <row r="60" ht="22.5" customHeight="1" spans="1:10">
      <c r="A60" s="5">
        <v>55</v>
      </c>
      <c r="B60" s="5" t="s">
        <v>31</v>
      </c>
      <c r="C60" s="6" t="s">
        <v>32</v>
      </c>
      <c r="D60" s="6">
        <v>16</v>
      </c>
      <c r="E60" s="49">
        <v>2000</v>
      </c>
      <c r="F60" s="6">
        <v>12410</v>
      </c>
      <c r="G60" s="8" t="s">
        <v>33</v>
      </c>
      <c r="H60" s="5">
        <v>1</v>
      </c>
      <c r="I60" s="148">
        <f t="shared" si="0"/>
        <v>3117.392</v>
      </c>
      <c r="J60" s="13" t="s">
        <v>36</v>
      </c>
    </row>
    <row r="61" ht="22.5" customHeight="1" spans="1:10">
      <c r="A61" s="5">
        <v>56</v>
      </c>
      <c r="B61" s="5" t="s">
        <v>31</v>
      </c>
      <c r="C61" s="6" t="s">
        <v>32</v>
      </c>
      <c r="D61" s="6">
        <v>16</v>
      </c>
      <c r="E61" s="49">
        <v>2000</v>
      </c>
      <c r="F61" s="60">
        <f>(241920+1000)/4/6</f>
        <v>10121.6666666667</v>
      </c>
      <c r="G61" s="8" t="s">
        <v>33</v>
      </c>
      <c r="H61" s="5">
        <v>6</v>
      </c>
      <c r="I61" s="148">
        <f t="shared" si="0"/>
        <v>15255.376</v>
      </c>
      <c r="J61" s="13" t="s">
        <v>19</v>
      </c>
    </row>
    <row r="62" ht="22.5" customHeight="1" spans="1:10">
      <c r="A62" s="5">
        <v>57</v>
      </c>
      <c r="B62" s="5" t="s">
        <v>31</v>
      </c>
      <c r="C62" s="6" t="s">
        <v>32</v>
      </c>
      <c r="D62" s="6">
        <v>16</v>
      </c>
      <c r="E62" s="49">
        <v>2000</v>
      </c>
      <c r="F62" s="6">
        <v>6900</v>
      </c>
      <c r="G62" s="8" t="s">
        <v>33</v>
      </c>
      <c r="H62" s="5">
        <v>1</v>
      </c>
      <c r="I62" s="148">
        <f t="shared" si="0"/>
        <v>1733.28</v>
      </c>
      <c r="J62" s="13" t="s">
        <v>38</v>
      </c>
    </row>
    <row r="63" ht="22.5" customHeight="1" spans="1:10">
      <c r="A63" s="5">
        <v>58</v>
      </c>
      <c r="B63" s="5" t="s">
        <v>31</v>
      </c>
      <c r="C63" s="6" t="s">
        <v>32</v>
      </c>
      <c r="D63" s="6">
        <v>16</v>
      </c>
      <c r="E63" s="49">
        <v>2000</v>
      </c>
      <c r="F63" s="6">
        <v>7230</v>
      </c>
      <c r="G63" s="8" t="s">
        <v>33</v>
      </c>
      <c r="H63" s="5">
        <v>1</v>
      </c>
      <c r="I63" s="148">
        <f t="shared" si="0"/>
        <v>1816.176</v>
      </c>
      <c r="J63" s="13" t="s">
        <v>38</v>
      </c>
    </row>
    <row r="64" ht="22.5" customHeight="1" spans="1:10">
      <c r="A64" s="5">
        <v>59</v>
      </c>
      <c r="B64" s="5" t="s">
        <v>31</v>
      </c>
      <c r="C64" s="6" t="s">
        <v>32</v>
      </c>
      <c r="D64" s="6">
        <v>16</v>
      </c>
      <c r="E64" s="49">
        <v>2000</v>
      </c>
      <c r="F64" s="6">
        <v>7420</v>
      </c>
      <c r="G64" s="8" t="s">
        <v>33</v>
      </c>
      <c r="H64" s="5">
        <v>1</v>
      </c>
      <c r="I64" s="148">
        <f t="shared" si="0"/>
        <v>1863.904</v>
      </c>
      <c r="J64" s="13" t="s">
        <v>11</v>
      </c>
    </row>
    <row r="65" ht="22.5" customHeight="1" spans="1:10">
      <c r="A65" s="5">
        <v>60</v>
      </c>
      <c r="B65" s="5" t="s">
        <v>31</v>
      </c>
      <c r="C65" s="6" t="s">
        <v>32</v>
      </c>
      <c r="D65" s="6">
        <v>16</v>
      </c>
      <c r="E65" s="49">
        <v>2000</v>
      </c>
      <c r="F65" s="6">
        <v>7430</v>
      </c>
      <c r="G65" s="8" t="s">
        <v>33</v>
      </c>
      <c r="H65" s="5">
        <v>3</v>
      </c>
      <c r="I65" s="148">
        <f t="shared" si="0"/>
        <v>5599.248</v>
      </c>
      <c r="J65" s="13" t="s">
        <v>11</v>
      </c>
    </row>
    <row r="66" ht="22.5" customHeight="1" spans="1:10">
      <c r="A66" s="5">
        <v>61</v>
      </c>
      <c r="B66" s="5" t="s">
        <v>31</v>
      </c>
      <c r="C66" s="6" t="s">
        <v>32</v>
      </c>
      <c r="D66" s="6">
        <v>16</v>
      </c>
      <c r="E66" s="49">
        <v>2000</v>
      </c>
      <c r="F66" s="6">
        <v>7440</v>
      </c>
      <c r="G66" s="8" t="s">
        <v>33</v>
      </c>
      <c r="H66" s="5">
        <v>3</v>
      </c>
      <c r="I66" s="148">
        <f t="shared" si="0"/>
        <v>5606.784</v>
      </c>
      <c r="J66" s="13" t="s">
        <v>11</v>
      </c>
    </row>
    <row r="67" ht="22.5" customHeight="1" spans="1:10">
      <c r="A67" s="5">
        <v>62</v>
      </c>
      <c r="B67" s="5" t="s">
        <v>31</v>
      </c>
      <c r="C67" s="6" t="s">
        <v>32</v>
      </c>
      <c r="D67" s="6">
        <v>16</v>
      </c>
      <c r="E67" s="49">
        <v>2000</v>
      </c>
      <c r="F67" s="6">
        <v>7440</v>
      </c>
      <c r="G67" s="8" t="s">
        <v>33</v>
      </c>
      <c r="H67" s="5">
        <v>1</v>
      </c>
      <c r="I67" s="148">
        <f t="shared" si="0"/>
        <v>1868.928</v>
      </c>
      <c r="J67" s="13" t="s">
        <v>11</v>
      </c>
    </row>
    <row r="68" ht="22.5" customHeight="1" spans="1:10">
      <c r="A68" s="5">
        <v>63</v>
      </c>
      <c r="B68" s="5" t="s">
        <v>31</v>
      </c>
      <c r="C68" s="6" t="s">
        <v>32</v>
      </c>
      <c r="D68" s="6">
        <v>16</v>
      </c>
      <c r="E68" s="49">
        <v>2000</v>
      </c>
      <c r="F68" s="6">
        <v>8020</v>
      </c>
      <c r="G68" s="8" t="s">
        <v>33</v>
      </c>
      <c r="H68" s="5">
        <v>1</v>
      </c>
      <c r="I68" s="148">
        <f t="shared" si="0"/>
        <v>2014.624</v>
      </c>
      <c r="J68" s="13" t="s">
        <v>34</v>
      </c>
    </row>
    <row r="69" ht="22.5" customHeight="1" spans="1:10">
      <c r="A69" s="5">
        <v>64</v>
      </c>
      <c r="B69" s="5" t="s">
        <v>31</v>
      </c>
      <c r="C69" s="6" t="s">
        <v>32</v>
      </c>
      <c r="D69" s="6">
        <v>16</v>
      </c>
      <c r="E69" s="49">
        <v>2000</v>
      </c>
      <c r="F69" s="6">
        <v>8040</v>
      </c>
      <c r="G69" s="8" t="s">
        <v>33</v>
      </c>
      <c r="H69" s="5">
        <v>1</v>
      </c>
      <c r="I69" s="148">
        <f t="shared" si="0"/>
        <v>2019.648</v>
      </c>
      <c r="J69" s="13" t="s">
        <v>34</v>
      </c>
    </row>
    <row r="70" ht="22.5" customHeight="1" spans="1:10">
      <c r="A70" s="5">
        <v>65</v>
      </c>
      <c r="B70" s="5" t="s">
        <v>31</v>
      </c>
      <c r="C70" s="6" t="s">
        <v>32</v>
      </c>
      <c r="D70" s="6">
        <v>16</v>
      </c>
      <c r="E70" s="49">
        <v>2000</v>
      </c>
      <c r="F70" s="6">
        <v>9210</v>
      </c>
      <c r="G70" s="8" t="s">
        <v>33</v>
      </c>
      <c r="H70" s="5">
        <v>1</v>
      </c>
      <c r="I70" s="148">
        <f t="shared" si="0"/>
        <v>2313.552</v>
      </c>
      <c r="J70" s="13" t="s">
        <v>11</v>
      </c>
    </row>
    <row r="71" ht="22.5" customHeight="1" spans="1:10">
      <c r="A71" s="5">
        <v>66</v>
      </c>
      <c r="B71" s="5" t="s">
        <v>31</v>
      </c>
      <c r="C71" s="6" t="s">
        <v>32</v>
      </c>
      <c r="D71" s="6">
        <v>16</v>
      </c>
      <c r="E71" s="49">
        <v>2000</v>
      </c>
      <c r="F71" s="6">
        <v>9360</v>
      </c>
      <c r="G71" s="8" t="s">
        <v>33</v>
      </c>
      <c r="H71" s="5">
        <v>1</v>
      </c>
      <c r="I71" s="148">
        <f t="shared" ref="I71:I76" si="1">H71*F71*E71*D71*7.85/1000000</f>
        <v>2351.232</v>
      </c>
      <c r="J71" s="13" t="s">
        <v>11</v>
      </c>
    </row>
    <row r="72" ht="22.5" customHeight="1" spans="1:10">
      <c r="A72" s="5">
        <v>67</v>
      </c>
      <c r="B72" s="5" t="s">
        <v>31</v>
      </c>
      <c r="C72" s="6" t="s">
        <v>32</v>
      </c>
      <c r="D72" s="6">
        <v>16</v>
      </c>
      <c r="E72" s="49">
        <v>2000</v>
      </c>
      <c r="F72" s="60">
        <f>10000</f>
        <v>10000</v>
      </c>
      <c r="G72" s="8" t="s">
        <v>33</v>
      </c>
      <c r="H72" s="5">
        <v>1</v>
      </c>
      <c r="I72" s="148">
        <f t="shared" si="1"/>
        <v>2512</v>
      </c>
      <c r="J72" s="13" t="s">
        <v>52</v>
      </c>
    </row>
    <row r="73" ht="22.5" customHeight="1" spans="1:10">
      <c r="A73" s="5">
        <v>68</v>
      </c>
      <c r="B73" s="5" t="s">
        <v>31</v>
      </c>
      <c r="C73" s="6" t="s">
        <v>32</v>
      </c>
      <c r="D73" s="6">
        <v>16</v>
      </c>
      <c r="E73" s="49">
        <v>2000</v>
      </c>
      <c r="F73" s="6">
        <v>10800</v>
      </c>
      <c r="G73" s="8" t="s">
        <v>33</v>
      </c>
      <c r="H73" s="5">
        <v>1</v>
      </c>
      <c r="I73" s="148">
        <f t="shared" si="1"/>
        <v>2712.96</v>
      </c>
      <c r="J73" s="13" t="s">
        <v>11</v>
      </c>
    </row>
    <row r="74" ht="22.5" customHeight="1" spans="1:10">
      <c r="A74" s="5">
        <v>69</v>
      </c>
      <c r="B74" s="5" t="s">
        <v>31</v>
      </c>
      <c r="C74" s="6" t="s">
        <v>32</v>
      </c>
      <c r="D74" s="6">
        <v>16</v>
      </c>
      <c r="E74" s="49">
        <v>2000</v>
      </c>
      <c r="F74" s="6">
        <v>11150</v>
      </c>
      <c r="G74" s="8" t="s">
        <v>33</v>
      </c>
      <c r="H74" s="5">
        <v>1</v>
      </c>
      <c r="I74" s="148">
        <f t="shared" si="1"/>
        <v>2800.88</v>
      </c>
      <c r="J74" s="13" t="s">
        <v>11</v>
      </c>
    </row>
    <row r="75" ht="22.5" customHeight="1" spans="1:10">
      <c r="A75" s="5">
        <v>70</v>
      </c>
      <c r="B75" s="5" t="s">
        <v>31</v>
      </c>
      <c r="C75" s="6" t="s">
        <v>32</v>
      </c>
      <c r="D75" s="6">
        <v>16</v>
      </c>
      <c r="E75" s="49">
        <v>2000</v>
      </c>
      <c r="F75" s="6">
        <v>11460</v>
      </c>
      <c r="G75" s="8" t="s">
        <v>33</v>
      </c>
      <c r="H75" s="5">
        <v>1</v>
      </c>
      <c r="I75" s="148">
        <f t="shared" si="1"/>
        <v>2878.752</v>
      </c>
      <c r="J75" s="13" t="s">
        <v>11</v>
      </c>
    </row>
    <row r="76" ht="22.5" customHeight="1" spans="1:10">
      <c r="A76" s="5">
        <v>71</v>
      </c>
      <c r="B76" s="5" t="s">
        <v>31</v>
      </c>
      <c r="C76" s="6" t="s">
        <v>32</v>
      </c>
      <c r="D76" s="6">
        <v>16</v>
      </c>
      <c r="E76" s="49">
        <v>2000</v>
      </c>
      <c r="F76" s="6">
        <v>12790</v>
      </c>
      <c r="G76" s="8" t="s">
        <v>33</v>
      </c>
      <c r="H76" s="5">
        <v>1</v>
      </c>
      <c r="I76" s="148">
        <f t="shared" si="1"/>
        <v>3212.848</v>
      </c>
      <c r="J76" s="13" t="s">
        <v>34</v>
      </c>
    </row>
    <row r="77" ht="22.5" customHeight="1" spans="1:10">
      <c r="A77" s="5" t="s">
        <v>40</v>
      </c>
      <c r="B77" s="5"/>
      <c r="C77" s="5"/>
      <c r="D77" s="5"/>
      <c r="E77" s="5"/>
      <c r="F77" s="5"/>
      <c r="G77" s="5"/>
      <c r="H77" s="5"/>
      <c r="I77" s="51">
        <f>SUM(I6:I76)</f>
        <v>199583.895</v>
      </c>
      <c r="J77" s="13"/>
    </row>
    <row r="78" ht="22.5" customHeight="1" spans="1:10">
      <c r="A78" s="22" t="s">
        <v>41</v>
      </c>
      <c r="B78" s="22"/>
      <c r="C78" s="22"/>
      <c r="D78" s="22"/>
      <c r="E78" s="22"/>
      <c r="F78" s="22"/>
      <c r="G78" s="22"/>
      <c r="H78" s="22"/>
      <c r="I78" s="22"/>
      <c r="J78" s="22"/>
    </row>
    <row r="79" ht="22.5" customHeight="1" spans="1:10">
      <c r="A79" s="22" t="s">
        <v>93</v>
      </c>
      <c r="B79" s="22"/>
      <c r="C79" s="22"/>
      <c r="D79" s="22"/>
      <c r="E79" s="22"/>
      <c r="F79" s="22"/>
      <c r="G79" s="22"/>
      <c r="H79" s="22"/>
      <c r="I79" s="22"/>
      <c r="J79" s="22"/>
    </row>
    <row r="80" ht="30" customHeight="1" spans="1:10">
      <c r="A80" s="16" t="s">
        <v>74</v>
      </c>
      <c r="B80" s="17"/>
      <c r="C80" s="17"/>
      <c r="D80" s="17"/>
      <c r="E80" s="17"/>
      <c r="F80" s="17"/>
      <c r="G80" s="17"/>
      <c r="H80" s="17"/>
      <c r="I80" s="17"/>
      <c r="J80" s="17"/>
    </row>
  </sheetData>
  <autoFilter ref="A5:L80">
    <extLst/>
  </autoFilter>
  <mergeCells count="7">
    <mergeCell ref="A1:J1"/>
    <mergeCell ref="A2:J2"/>
    <mergeCell ref="A3:F3"/>
    <mergeCell ref="A77:H77"/>
    <mergeCell ref="A78:J78"/>
    <mergeCell ref="A79:J79"/>
    <mergeCell ref="A80:J80"/>
  </mergeCells>
  <pageMargins left="0.751388888888889" right="0.751388888888889" top="1" bottom="1" header="0.5" footer="0.5"/>
  <pageSetup paperSize="9" scale="86" fitToHeight="0" orientation="portrait"/>
  <headerFooter>
    <oddFooter>&amp;C第 &amp;P 页，共 &amp;N 页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/>
  <dimension ref="A1:N73"/>
  <sheetViews>
    <sheetView zoomScale="115" zoomScaleNormal="115" workbookViewId="0">
      <selection activeCell="F21" sqref="F21"/>
    </sheetView>
  </sheetViews>
  <sheetFormatPr defaultColWidth="8.89166666666667" defaultRowHeight="13.5"/>
  <cols>
    <col min="7" max="7" width="14.5583333333333" customWidth="1"/>
    <col min="12" max="12" width="13"/>
    <col min="13" max="13" width="10.775"/>
  </cols>
  <sheetData>
    <row r="1" ht="14.25" spans="1:8">
      <c r="A1" s="135" t="s">
        <v>94</v>
      </c>
      <c r="B1" s="135"/>
      <c r="C1" s="135"/>
      <c r="D1" s="135"/>
      <c r="E1" s="135"/>
      <c r="F1" s="135"/>
      <c r="G1" s="135"/>
      <c r="H1" s="135"/>
    </row>
    <row r="2" spans="1:9">
      <c r="A2" s="136" t="s">
        <v>0</v>
      </c>
      <c r="B2" s="137" t="s">
        <v>24</v>
      </c>
      <c r="C2" s="137" t="s">
        <v>1</v>
      </c>
      <c r="D2" s="138"/>
      <c r="E2" s="138"/>
      <c r="F2" s="137" t="s">
        <v>2</v>
      </c>
      <c r="G2" s="137" t="s">
        <v>3</v>
      </c>
      <c r="H2" s="139" t="s">
        <v>30</v>
      </c>
      <c r="I2" t="s">
        <v>95</v>
      </c>
    </row>
    <row r="3" ht="27" spans="1:14">
      <c r="A3" s="140"/>
      <c r="B3" s="70"/>
      <c r="C3" s="97" t="s">
        <v>8</v>
      </c>
      <c r="D3" s="97" t="s">
        <v>9</v>
      </c>
      <c r="E3" s="97" t="s">
        <v>10</v>
      </c>
      <c r="F3" s="70"/>
      <c r="G3" s="70"/>
      <c r="H3" s="141"/>
      <c r="I3" t="s">
        <v>4</v>
      </c>
      <c r="J3" t="s">
        <v>5</v>
      </c>
      <c r="K3" t="s">
        <v>6</v>
      </c>
      <c r="L3" t="s">
        <v>3</v>
      </c>
      <c r="M3" t="s">
        <v>7</v>
      </c>
      <c r="N3" t="s">
        <v>30</v>
      </c>
    </row>
    <row r="4" spans="1:8">
      <c r="A4" s="96" t="s">
        <v>11</v>
      </c>
      <c r="B4" s="97" t="s">
        <v>32</v>
      </c>
      <c r="C4" s="142" t="s">
        <v>96</v>
      </c>
      <c r="D4" s="142">
        <v>4500</v>
      </c>
      <c r="E4" s="142">
        <v>89960</v>
      </c>
      <c r="F4" s="142" t="s">
        <v>97</v>
      </c>
      <c r="G4" s="143">
        <f>E4*D4*C4*7850/1000000000*F4</f>
        <v>50845.392</v>
      </c>
      <c r="H4" s="144" t="s">
        <v>98</v>
      </c>
    </row>
    <row r="5" ht="27" spans="1:8">
      <c r="A5" s="96" t="s">
        <v>12</v>
      </c>
      <c r="B5" s="97" t="s">
        <v>32</v>
      </c>
      <c r="C5" s="142" t="s">
        <v>13</v>
      </c>
      <c r="D5" s="142"/>
      <c r="E5" s="142">
        <v>89960</v>
      </c>
      <c r="F5" s="142">
        <v>2</v>
      </c>
      <c r="G5" s="143">
        <f>(568+340+568+340)*E5*16*7850/1000000000*F5</f>
        <v>41037.880832</v>
      </c>
      <c r="H5" s="144" t="s">
        <v>98</v>
      </c>
    </row>
    <row r="6" spans="1:8">
      <c r="A6" s="96" t="s">
        <v>15</v>
      </c>
      <c r="B6" s="97" t="s">
        <v>32</v>
      </c>
      <c r="C6" s="142" t="s">
        <v>99</v>
      </c>
      <c r="D6" s="142" t="s">
        <v>100</v>
      </c>
      <c r="E6" s="142" t="s">
        <v>101</v>
      </c>
      <c r="F6" s="142">
        <v>94</v>
      </c>
      <c r="G6" s="143">
        <f t="shared" ref="G6:G14" si="0">E6*D6*C6*7850/1000000000*F6</f>
        <v>1549.0941312</v>
      </c>
      <c r="H6" s="144" t="s">
        <v>98</v>
      </c>
    </row>
    <row r="7" spans="1:14">
      <c r="A7" s="96" t="s">
        <v>16</v>
      </c>
      <c r="B7" s="97" t="s">
        <v>32</v>
      </c>
      <c r="C7" s="142" t="s">
        <v>99</v>
      </c>
      <c r="D7" s="142" t="s">
        <v>102</v>
      </c>
      <c r="E7" s="142">
        <v>2500</v>
      </c>
      <c r="F7" s="142">
        <v>47</v>
      </c>
      <c r="G7" s="143">
        <f t="shared" si="0"/>
        <v>3586.194</v>
      </c>
      <c r="H7" s="144" t="s">
        <v>98</v>
      </c>
      <c r="I7">
        <v>12</v>
      </c>
      <c r="J7">
        <v>2000</v>
      </c>
      <c r="K7">
        <v>10020</v>
      </c>
      <c r="L7" s="146">
        <f>337/24</f>
        <v>14.0416666666667</v>
      </c>
      <c r="M7" s="76">
        <f>L7*K7*J7*I7*7.85/1000000</f>
        <v>26507.409</v>
      </c>
      <c r="N7" t="s">
        <v>16</v>
      </c>
    </row>
    <row r="8" spans="1:14">
      <c r="A8" s="96" t="s">
        <v>17</v>
      </c>
      <c r="B8" s="97" t="s">
        <v>32</v>
      </c>
      <c r="C8" s="142" t="s">
        <v>99</v>
      </c>
      <c r="D8" s="142">
        <v>340</v>
      </c>
      <c r="E8" s="142">
        <v>400</v>
      </c>
      <c r="F8" s="142">
        <v>94</v>
      </c>
      <c r="G8" s="143">
        <f t="shared" si="0"/>
        <v>1204.2528</v>
      </c>
      <c r="H8" s="144" t="s">
        <v>98</v>
      </c>
      <c r="L8" s="14"/>
      <c r="N8" t="s">
        <v>17</v>
      </c>
    </row>
    <row r="9" spans="1:8">
      <c r="A9" s="96" t="s">
        <v>18</v>
      </c>
      <c r="B9" s="97" t="s">
        <v>32</v>
      </c>
      <c r="C9" s="142" t="s">
        <v>96</v>
      </c>
      <c r="D9" s="142">
        <v>2500</v>
      </c>
      <c r="E9" s="142">
        <v>89960</v>
      </c>
      <c r="F9" s="142">
        <v>1</v>
      </c>
      <c r="G9" s="143">
        <f t="shared" si="0"/>
        <v>28247.44</v>
      </c>
      <c r="H9" s="144" t="s">
        <v>98</v>
      </c>
    </row>
    <row r="10" spans="1:8">
      <c r="A10" s="96" t="s">
        <v>19</v>
      </c>
      <c r="B10" s="97" t="s">
        <v>32</v>
      </c>
      <c r="C10" s="142" t="s">
        <v>96</v>
      </c>
      <c r="D10" s="142" t="s">
        <v>103</v>
      </c>
      <c r="E10" s="142">
        <v>89960</v>
      </c>
      <c r="F10" s="142">
        <v>2</v>
      </c>
      <c r="G10" s="143">
        <f t="shared" si="0"/>
        <v>10892.212864</v>
      </c>
      <c r="H10" s="144" t="s">
        <v>98</v>
      </c>
    </row>
    <row r="11" spans="1:8">
      <c r="A11" s="145" t="s">
        <v>104</v>
      </c>
      <c r="B11" s="97" t="s">
        <v>32</v>
      </c>
      <c r="C11" s="142">
        <v>16</v>
      </c>
      <c r="D11" s="142">
        <v>400</v>
      </c>
      <c r="E11" s="142">
        <v>400</v>
      </c>
      <c r="F11" s="142">
        <v>5</v>
      </c>
      <c r="G11" s="143">
        <f t="shared" si="0"/>
        <v>100.48</v>
      </c>
      <c r="H11" s="144" t="s">
        <v>98</v>
      </c>
    </row>
    <row r="12" spans="1:8">
      <c r="A12" s="145" t="s">
        <v>105</v>
      </c>
      <c r="B12" s="97" t="s">
        <v>32</v>
      </c>
      <c r="C12" s="142" t="s">
        <v>99</v>
      </c>
      <c r="D12" s="142">
        <v>178</v>
      </c>
      <c r="E12" s="142">
        <v>400</v>
      </c>
      <c r="F12" s="142">
        <v>5</v>
      </c>
      <c r="G12" s="143">
        <f t="shared" si="0"/>
        <v>33.5352</v>
      </c>
      <c r="H12" s="144" t="s">
        <v>98</v>
      </c>
    </row>
    <row r="13" spans="1:8">
      <c r="A13" s="145" t="s">
        <v>106</v>
      </c>
      <c r="B13" s="97" t="s">
        <v>32</v>
      </c>
      <c r="C13" s="142" t="s">
        <v>99</v>
      </c>
      <c r="D13" s="142">
        <v>381</v>
      </c>
      <c r="E13" s="142">
        <v>340</v>
      </c>
      <c r="F13" s="142">
        <v>10</v>
      </c>
      <c r="G13" s="143">
        <f t="shared" si="0"/>
        <v>122.02668</v>
      </c>
      <c r="H13" s="144" t="s">
        <v>98</v>
      </c>
    </row>
    <row r="14" spans="1:8">
      <c r="A14" s="96" t="s">
        <v>11</v>
      </c>
      <c r="B14" s="97" t="s">
        <v>32</v>
      </c>
      <c r="C14" s="142" t="s">
        <v>96</v>
      </c>
      <c r="D14" s="142">
        <v>4500</v>
      </c>
      <c r="E14" s="142">
        <v>81960</v>
      </c>
      <c r="F14" s="142" t="s">
        <v>97</v>
      </c>
      <c r="G14" s="143">
        <f t="shared" si="0"/>
        <v>46323.792</v>
      </c>
      <c r="H14" s="144" t="s">
        <v>107</v>
      </c>
    </row>
    <row r="15" ht="27" spans="1:8">
      <c r="A15" s="96" t="s">
        <v>12</v>
      </c>
      <c r="B15" s="97" t="s">
        <v>32</v>
      </c>
      <c r="C15" s="142" t="s">
        <v>13</v>
      </c>
      <c r="D15" s="142"/>
      <c r="E15" s="142">
        <v>81960</v>
      </c>
      <c r="F15" s="142">
        <v>2</v>
      </c>
      <c r="G15" s="143">
        <f>(568+340+568+340)*E15*16*7850/1000000000*F15</f>
        <v>37388.447232</v>
      </c>
      <c r="H15" s="144" t="s">
        <v>107</v>
      </c>
    </row>
    <row r="16" spans="1:8">
      <c r="A16" s="96" t="s">
        <v>15</v>
      </c>
      <c r="B16" s="97" t="s">
        <v>32</v>
      </c>
      <c r="C16" s="142" t="s">
        <v>99</v>
      </c>
      <c r="D16" s="142" t="s">
        <v>100</v>
      </c>
      <c r="E16" s="142" t="s">
        <v>101</v>
      </c>
      <c r="F16" s="142">
        <v>86</v>
      </c>
      <c r="G16" s="143">
        <f t="shared" ref="G16:G24" si="1">E16*D16*C16*7850/1000000000*F16</f>
        <v>1417.2563328</v>
      </c>
      <c r="H16" s="144" t="s">
        <v>107</v>
      </c>
    </row>
    <row r="17" spans="1:8">
      <c r="A17" s="96" t="s">
        <v>16</v>
      </c>
      <c r="B17" s="97" t="s">
        <v>32</v>
      </c>
      <c r="C17" s="142" t="s">
        <v>99</v>
      </c>
      <c r="D17" s="142" t="s">
        <v>102</v>
      </c>
      <c r="E17" s="142">
        <v>2500</v>
      </c>
      <c r="F17" s="142">
        <v>43</v>
      </c>
      <c r="G17" s="143">
        <f t="shared" si="1"/>
        <v>3280.986</v>
      </c>
      <c r="H17" s="144" t="s">
        <v>107</v>
      </c>
    </row>
    <row r="18" spans="1:8">
      <c r="A18" s="96" t="s">
        <v>17</v>
      </c>
      <c r="B18" s="97" t="s">
        <v>32</v>
      </c>
      <c r="C18" s="142" t="s">
        <v>99</v>
      </c>
      <c r="D18" s="142">
        <v>340</v>
      </c>
      <c r="E18" s="142">
        <v>400</v>
      </c>
      <c r="F18" s="142">
        <v>86</v>
      </c>
      <c r="G18" s="143">
        <f t="shared" si="1"/>
        <v>1101.7632</v>
      </c>
      <c r="H18" s="144" t="s">
        <v>107</v>
      </c>
    </row>
    <row r="19" spans="1:8">
      <c r="A19" s="96" t="s">
        <v>18</v>
      </c>
      <c r="B19" s="97" t="s">
        <v>32</v>
      </c>
      <c r="C19" s="142" t="s">
        <v>96</v>
      </c>
      <c r="D19" s="142">
        <v>2500</v>
      </c>
      <c r="E19" s="142">
        <v>81960</v>
      </c>
      <c r="F19" s="142">
        <v>1</v>
      </c>
      <c r="G19" s="143">
        <f t="shared" si="1"/>
        <v>25735.44</v>
      </c>
      <c r="H19" s="144" t="s">
        <v>107</v>
      </c>
    </row>
    <row r="20" spans="1:8">
      <c r="A20" s="96" t="s">
        <v>19</v>
      </c>
      <c r="B20" s="97" t="s">
        <v>32</v>
      </c>
      <c r="C20" s="142" t="s">
        <v>96</v>
      </c>
      <c r="D20" s="142" t="s">
        <v>103</v>
      </c>
      <c r="E20" s="142">
        <v>81960</v>
      </c>
      <c r="F20" s="142">
        <v>2</v>
      </c>
      <c r="G20" s="143">
        <f t="shared" si="1"/>
        <v>9923.585664</v>
      </c>
      <c r="H20" s="144" t="s">
        <v>107</v>
      </c>
    </row>
    <row r="21" spans="1:8">
      <c r="A21" s="145" t="s">
        <v>104</v>
      </c>
      <c r="B21" s="97" t="s">
        <v>32</v>
      </c>
      <c r="C21" s="142">
        <v>16</v>
      </c>
      <c r="D21" s="142">
        <v>400</v>
      </c>
      <c r="E21" s="142">
        <v>400</v>
      </c>
      <c r="F21" s="142">
        <v>5</v>
      </c>
      <c r="G21" s="143">
        <f t="shared" si="1"/>
        <v>100.48</v>
      </c>
      <c r="H21" s="144" t="s">
        <v>107</v>
      </c>
    </row>
    <row r="22" spans="1:8">
      <c r="A22" s="145" t="s">
        <v>105</v>
      </c>
      <c r="B22" s="97" t="s">
        <v>32</v>
      </c>
      <c r="C22" s="142" t="s">
        <v>99</v>
      </c>
      <c r="D22" s="142">
        <v>178</v>
      </c>
      <c r="E22" s="142">
        <v>400</v>
      </c>
      <c r="F22" s="142">
        <v>5</v>
      </c>
      <c r="G22" s="143">
        <f t="shared" si="1"/>
        <v>33.5352</v>
      </c>
      <c r="H22" s="144" t="s">
        <v>107</v>
      </c>
    </row>
    <row r="23" spans="1:8">
      <c r="A23" s="145" t="s">
        <v>106</v>
      </c>
      <c r="B23" s="97" t="s">
        <v>32</v>
      </c>
      <c r="C23" s="142" t="s">
        <v>99</v>
      </c>
      <c r="D23" s="142">
        <v>381</v>
      </c>
      <c r="E23" s="142">
        <v>340</v>
      </c>
      <c r="F23" s="142">
        <v>10</v>
      </c>
      <c r="G23" s="143">
        <f t="shared" si="1"/>
        <v>122.02668</v>
      </c>
      <c r="H23" s="144" t="s">
        <v>107</v>
      </c>
    </row>
    <row r="24" spans="1:8">
      <c r="A24" s="96" t="s">
        <v>11</v>
      </c>
      <c r="B24" s="97" t="s">
        <v>32</v>
      </c>
      <c r="C24" s="142" t="s">
        <v>96</v>
      </c>
      <c r="D24" s="142">
        <v>4500</v>
      </c>
      <c r="E24" s="142">
        <v>105960</v>
      </c>
      <c r="F24" s="142" t="s">
        <v>97</v>
      </c>
      <c r="G24" s="143">
        <f t="shared" si="1"/>
        <v>59888.592</v>
      </c>
      <c r="H24" s="144" t="s">
        <v>108</v>
      </c>
    </row>
    <row r="25" ht="27" spans="1:8">
      <c r="A25" s="96" t="s">
        <v>12</v>
      </c>
      <c r="B25" s="97" t="s">
        <v>32</v>
      </c>
      <c r="C25" s="142" t="s">
        <v>13</v>
      </c>
      <c r="D25" s="142"/>
      <c r="E25" s="142">
        <v>105960</v>
      </c>
      <c r="F25" s="142">
        <v>2</v>
      </c>
      <c r="G25" s="143">
        <f>(568+340+568+340)*E25*16*7850/1000000000*F25</f>
        <v>48336.748032</v>
      </c>
      <c r="H25" s="144" t="s">
        <v>108</v>
      </c>
    </row>
    <row r="26" spans="1:8">
      <c r="A26" s="96" t="s">
        <v>15</v>
      </c>
      <c r="B26" s="97" t="s">
        <v>32</v>
      </c>
      <c r="C26" s="142" t="s">
        <v>99</v>
      </c>
      <c r="D26" s="142" t="s">
        <v>100</v>
      </c>
      <c r="E26" s="142" t="s">
        <v>101</v>
      </c>
      <c r="F26" s="142">
        <v>110</v>
      </c>
      <c r="G26" s="143">
        <f t="shared" ref="G26:G34" si="2">E26*D26*C26*7850/1000000000*F26</f>
        <v>1812.769728</v>
      </c>
      <c r="H26" s="144" t="s">
        <v>108</v>
      </c>
    </row>
    <row r="27" spans="1:8">
      <c r="A27" s="96" t="s">
        <v>16</v>
      </c>
      <c r="B27" s="97" t="s">
        <v>32</v>
      </c>
      <c r="C27" s="142" t="s">
        <v>99</v>
      </c>
      <c r="D27" s="142" t="s">
        <v>102</v>
      </c>
      <c r="E27" s="142">
        <v>2500</v>
      </c>
      <c r="F27" s="142">
        <v>55</v>
      </c>
      <c r="G27" s="143">
        <f t="shared" si="2"/>
        <v>4196.61</v>
      </c>
      <c r="H27" s="144" t="s">
        <v>108</v>
      </c>
    </row>
    <row r="28" spans="1:8">
      <c r="A28" s="96" t="s">
        <v>17</v>
      </c>
      <c r="B28" s="97" t="s">
        <v>32</v>
      </c>
      <c r="C28" s="142" t="s">
        <v>99</v>
      </c>
      <c r="D28" s="142">
        <v>340</v>
      </c>
      <c r="E28" s="142">
        <v>400</v>
      </c>
      <c r="F28" s="142">
        <v>110</v>
      </c>
      <c r="G28" s="143">
        <f t="shared" si="2"/>
        <v>1409.232</v>
      </c>
      <c r="H28" s="144" t="s">
        <v>108</v>
      </c>
    </row>
    <row r="29" spans="1:8">
      <c r="A29" s="96" t="s">
        <v>18</v>
      </c>
      <c r="B29" s="97" t="s">
        <v>32</v>
      </c>
      <c r="C29" s="142" t="s">
        <v>96</v>
      </c>
      <c r="D29" s="142">
        <v>2500</v>
      </c>
      <c r="E29" s="142">
        <v>105960</v>
      </c>
      <c r="F29" s="142">
        <v>1</v>
      </c>
      <c r="G29" s="143">
        <f t="shared" si="2"/>
        <v>33271.44</v>
      </c>
      <c r="H29" s="144" t="s">
        <v>108</v>
      </c>
    </row>
    <row r="30" spans="1:8">
      <c r="A30" s="96" t="s">
        <v>19</v>
      </c>
      <c r="B30" s="97" t="s">
        <v>32</v>
      </c>
      <c r="C30" s="142" t="s">
        <v>96</v>
      </c>
      <c r="D30" s="142" t="s">
        <v>103</v>
      </c>
      <c r="E30" s="142">
        <v>105960</v>
      </c>
      <c r="F30" s="142">
        <v>2</v>
      </c>
      <c r="G30" s="143">
        <f t="shared" si="2"/>
        <v>12829.467264</v>
      </c>
      <c r="H30" s="144" t="s">
        <v>108</v>
      </c>
    </row>
    <row r="31" spans="1:8">
      <c r="A31" s="145" t="s">
        <v>104</v>
      </c>
      <c r="B31" s="97" t="s">
        <v>32</v>
      </c>
      <c r="C31" s="142">
        <v>16</v>
      </c>
      <c r="D31" s="142">
        <v>400</v>
      </c>
      <c r="E31" s="142">
        <v>400</v>
      </c>
      <c r="F31" s="142">
        <v>6</v>
      </c>
      <c r="G31" s="143">
        <f t="shared" si="2"/>
        <v>120.576</v>
      </c>
      <c r="H31" s="144" t="s">
        <v>108</v>
      </c>
    </row>
    <row r="32" spans="1:8">
      <c r="A32" s="145" t="s">
        <v>105</v>
      </c>
      <c r="B32" s="97" t="s">
        <v>32</v>
      </c>
      <c r="C32" s="142" t="s">
        <v>99</v>
      </c>
      <c r="D32" s="142">
        <v>178</v>
      </c>
      <c r="E32" s="142">
        <v>400</v>
      </c>
      <c r="F32" s="142">
        <v>6</v>
      </c>
      <c r="G32" s="143">
        <f t="shared" si="2"/>
        <v>40.24224</v>
      </c>
      <c r="H32" s="144" t="s">
        <v>108</v>
      </c>
    </row>
    <row r="33" spans="1:8">
      <c r="A33" s="145" t="s">
        <v>106</v>
      </c>
      <c r="B33" s="97" t="s">
        <v>32</v>
      </c>
      <c r="C33" s="142" t="s">
        <v>99</v>
      </c>
      <c r="D33" s="142">
        <v>381</v>
      </c>
      <c r="E33" s="142">
        <v>340</v>
      </c>
      <c r="F33" s="142">
        <v>12</v>
      </c>
      <c r="G33" s="143">
        <f t="shared" si="2"/>
        <v>146.432016</v>
      </c>
      <c r="H33" s="144" t="s">
        <v>108</v>
      </c>
    </row>
    <row r="34" spans="1:8">
      <c r="A34" s="96" t="s">
        <v>11</v>
      </c>
      <c r="B34" s="97" t="s">
        <v>32</v>
      </c>
      <c r="C34" s="142" t="s">
        <v>96</v>
      </c>
      <c r="D34" s="142">
        <v>4500</v>
      </c>
      <c r="E34" s="142">
        <v>89960</v>
      </c>
      <c r="F34" s="142" t="s">
        <v>97</v>
      </c>
      <c r="G34" s="143">
        <f t="shared" si="2"/>
        <v>50845.392</v>
      </c>
      <c r="H34" s="144" t="s">
        <v>109</v>
      </c>
    </row>
    <row r="35" ht="27" spans="1:8">
      <c r="A35" s="96" t="s">
        <v>12</v>
      </c>
      <c r="B35" s="97" t="s">
        <v>32</v>
      </c>
      <c r="C35" s="142" t="s">
        <v>13</v>
      </c>
      <c r="D35" s="142"/>
      <c r="E35" s="142">
        <v>89960</v>
      </c>
      <c r="F35" s="142">
        <v>2</v>
      </c>
      <c r="G35" s="143">
        <f>(568+340+568+340)*E35*16*7850/1000000000*F35</f>
        <v>41037.880832</v>
      </c>
      <c r="H35" s="144" t="s">
        <v>109</v>
      </c>
    </row>
    <row r="36" spans="1:8">
      <c r="A36" s="96" t="s">
        <v>15</v>
      </c>
      <c r="B36" s="97" t="s">
        <v>32</v>
      </c>
      <c r="C36" s="142" t="s">
        <v>99</v>
      </c>
      <c r="D36" s="142" t="s">
        <v>100</v>
      </c>
      <c r="E36" s="142" t="s">
        <v>101</v>
      </c>
      <c r="F36" s="142">
        <v>94</v>
      </c>
      <c r="G36" s="143">
        <f t="shared" ref="G36:G44" si="3">E36*D36*C36*7850/1000000000*F36</f>
        <v>1549.0941312</v>
      </c>
      <c r="H36" s="144" t="s">
        <v>109</v>
      </c>
    </row>
    <row r="37" spans="1:8">
      <c r="A37" s="96" t="s">
        <v>16</v>
      </c>
      <c r="B37" s="97" t="s">
        <v>32</v>
      </c>
      <c r="C37" s="142" t="s">
        <v>99</v>
      </c>
      <c r="D37" s="142" t="s">
        <v>102</v>
      </c>
      <c r="E37" s="142">
        <v>2500</v>
      </c>
      <c r="F37" s="142">
        <v>47</v>
      </c>
      <c r="G37" s="143">
        <f t="shared" si="3"/>
        <v>3586.194</v>
      </c>
      <c r="H37" s="144" t="s">
        <v>109</v>
      </c>
    </row>
    <row r="38" spans="1:8">
      <c r="A38" s="96" t="s">
        <v>17</v>
      </c>
      <c r="B38" s="97" t="s">
        <v>32</v>
      </c>
      <c r="C38" s="142" t="s">
        <v>99</v>
      </c>
      <c r="D38" s="142">
        <v>340</v>
      </c>
      <c r="E38" s="142">
        <v>400</v>
      </c>
      <c r="F38" s="142">
        <v>94</v>
      </c>
      <c r="G38" s="143">
        <f t="shared" si="3"/>
        <v>1204.2528</v>
      </c>
      <c r="H38" s="144" t="s">
        <v>109</v>
      </c>
    </row>
    <row r="39" spans="1:8">
      <c r="A39" s="96" t="s">
        <v>18</v>
      </c>
      <c r="B39" s="97" t="s">
        <v>32</v>
      </c>
      <c r="C39" s="142" t="s">
        <v>96</v>
      </c>
      <c r="D39" s="142">
        <v>2500</v>
      </c>
      <c r="E39" s="142">
        <v>89960</v>
      </c>
      <c r="F39" s="142">
        <v>1</v>
      </c>
      <c r="G39" s="143">
        <f t="shared" si="3"/>
        <v>28247.44</v>
      </c>
      <c r="H39" s="144" t="s">
        <v>109</v>
      </c>
    </row>
    <row r="40" spans="1:8">
      <c r="A40" s="96" t="s">
        <v>19</v>
      </c>
      <c r="B40" s="97" t="s">
        <v>32</v>
      </c>
      <c r="C40" s="142" t="s">
        <v>96</v>
      </c>
      <c r="D40" s="142" t="s">
        <v>103</v>
      </c>
      <c r="E40" s="142">
        <v>89960</v>
      </c>
      <c r="F40" s="142">
        <v>2</v>
      </c>
      <c r="G40" s="143">
        <f t="shared" si="3"/>
        <v>10892.212864</v>
      </c>
      <c r="H40" s="144" t="s">
        <v>109</v>
      </c>
    </row>
    <row r="41" spans="1:8">
      <c r="A41" s="145" t="s">
        <v>104</v>
      </c>
      <c r="B41" s="97" t="s">
        <v>32</v>
      </c>
      <c r="C41" s="142">
        <v>16</v>
      </c>
      <c r="D41" s="142">
        <v>400</v>
      </c>
      <c r="E41" s="142">
        <v>400</v>
      </c>
      <c r="F41" s="142">
        <v>5</v>
      </c>
      <c r="G41" s="143">
        <f t="shared" si="3"/>
        <v>100.48</v>
      </c>
      <c r="H41" s="144" t="s">
        <v>109</v>
      </c>
    </row>
    <row r="42" spans="1:8">
      <c r="A42" s="145" t="s">
        <v>105</v>
      </c>
      <c r="B42" s="97" t="s">
        <v>32</v>
      </c>
      <c r="C42" s="142" t="s">
        <v>99</v>
      </c>
      <c r="D42" s="142">
        <v>178</v>
      </c>
      <c r="E42" s="142">
        <v>400</v>
      </c>
      <c r="F42" s="142">
        <v>5</v>
      </c>
      <c r="G42" s="143">
        <f t="shared" si="3"/>
        <v>33.5352</v>
      </c>
      <c r="H42" s="144" t="s">
        <v>109</v>
      </c>
    </row>
    <row r="43" spans="1:8">
      <c r="A43" s="145" t="s">
        <v>106</v>
      </c>
      <c r="B43" s="97" t="s">
        <v>32</v>
      </c>
      <c r="C43" s="142" t="s">
        <v>99</v>
      </c>
      <c r="D43" s="142">
        <v>381</v>
      </c>
      <c r="E43" s="142">
        <v>340</v>
      </c>
      <c r="F43" s="142">
        <v>10</v>
      </c>
      <c r="G43" s="143">
        <f t="shared" si="3"/>
        <v>122.02668</v>
      </c>
      <c r="H43" s="144" t="s">
        <v>109</v>
      </c>
    </row>
    <row r="44" spans="1:8">
      <c r="A44" s="96" t="s">
        <v>11</v>
      </c>
      <c r="B44" s="97" t="s">
        <v>32</v>
      </c>
      <c r="C44" s="142" t="s">
        <v>96</v>
      </c>
      <c r="D44" s="142">
        <v>4500</v>
      </c>
      <c r="E44" s="142">
        <v>81960</v>
      </c>
      <c r="F44" s="142" t="s">
        <v>97</v>
      </c>
      <c r="G44" s="143">
        <f t="shared" si="3"/>
        <v>46323.792</v>
      </c>
      <c r="H44" s="144" t="s">
        <v>110</v>
      </c>
    </row>
    <row r="45" ht="27" spans="1:8">
      <c r="A45" s="96" t="s">
        <v>12</v>
      </c>
      <c r="B45" s="97" t="s">
        <v>32</v>
      </c>
      <c r="C45" s="142" t="s">
        <v>13</v>
      </c>
      <c r="D45" s="142"/>
      <c r="E45" s="142">
        <v>81960</v>
      </c>
      <c r="F45" s="142">
        <v>2</v>
      </c>
      <c r="G45" s="143">
        <f>(568+340+568+340)*E45*16*7850/1000000000*F45</f>
        <v>37388.447232</v>
      </c>
      <c r="H45" s="144" t="s">
        <v>110</v>
      </c>
    </row>
    <row r="46" spans="1:8">
      <c r="A46" s="96" t="s">
        <v>15</v>
      </c>
      <c r="B46" s="97" t="s">
        <v>32</v>
      </c>
      <c r="C46" s="142" t="s">
        <v>99</v>
      </c>
      <c r="D46" s="142" t="s">
        <v>100</v>
      </c>
      <c r="E46" s="142" t="s">
        <v>101</v>
      </c>
      <c r="F46" s="142">
        <v>86</v>
      </c>
      <c r="G46" s="143">
        <f t="shared" ref="G46:G54" si="4">E46*D46*C46*7850/1000000000*F46</f>
        <v>1417.2563328</v>
      </c>
      <c r="H46" s="144" t="s">
        <v>110</v>
      </c>
    </row>
    <row r="47" spans="1:8">
      <c r="A47" s="96" t="s">
        <v>16</v>
      </c>
      <c r="B47" s="97" t="s">
        <v>32</v>
      </c>
      <c r="C47" s="142" t="s">
        <v>99</v>
      </c>
      <c r="D47" s="142" t="s">
        <v>102</v>
      </c>
      <c r="E47" s="142">
        <v>2500</v>
      </c>
      <c r="F47" s="142">
        <v>43</v>
      </c>
      <c r="G47" s="143">
        <f t="shared" si="4"/>
        <v>3280.986</v>
      </c>
      <c r="H47" s="144" t="s">
        <v>110</v>
      </c>
    </row>
    <row r="48" spans="1:8">
      <c r="A48" s="96" t="s">
        <v>17</v>
      </c>
      <c r="B48" s="97" t="s">
        <v>32</v>
      </c>
      <c r="C48" s="142" t="s">
        <v>99</v>
      </c>
      <c r="D48" s="142">
        <v>340</v>
      </c>
      <c r="E48" s="142">
        <v>400</v>
      </c>
      <c r="F48" s="142">
        <v>86</v>
      </c>
      <c r="G48" s="143">
        <f t="shared" si="4"/>
        <v>1101.7632</v>
      </c>
      <c r="H48" s="144" t="s">
        <v>110</v>
      </c>
    </row>
    <row r="49" spans="1:8">
      <c r="A49" s="96" t="s">
        <v>18</v>
      </c>
      <c r="B49" s="97" t="s">
        <v>32</v>
      </c>
      <c r="C49" s="142" t="s">
        <v>96</v>
      </c>
      <c r="D49" s="142">
        <v>2500</v>
      </c>
      <c r="E49" s="142">
        <v>81960</v>
      </c>
      <c r="F49" s="142">
        <v>1</v>
      </c>
      <c r="G49" s="143">
        <f t="shared" si="4"/>
        <v>25735.44</v>
      </c>
      <c r="H49" s="144" t="s">
        <v>110</v>
      </c>
    </row>
    <row r="50" spans="1:8">
      <c r="A50" s="96" t="s">
        <v>19</v>
      </c>
      <c r="B50" s="97" t="s">
        <v>32</v>
      </c>
      <c r="C50" s="142" t="s">
        <v>96</v>
      </c>
      <c r="D50" s="142" t="s">
        <v>103</v>
      </c>
      <c r="E50" s="142">
        <v>81960</v>
      </c>
      <c r="F50" s="142">
        <v>2</v>
      </c>
      <c r="G50" s="143">
        <f t="shared" si="4"/>
        <v>9923.585664</v>
      </c>
      <c r="H50" s="144" t="s">
        <v>110</v>
      </c>
    </row>
    <row r="51" spans="1:8">
      <c r="A51" s="145" t="s">
        <v>104</v>
      </c>
      <c r="B51" s="97" t="s">
        <v>32</v>
      </c>
      <c r="C51" s="142">
        <v>16</v>
      </c>
      <c r="D51" s="142">
        <v>400</v>
      </c>
      <c r="E51" s="142">
        <v>400</v>
      </c>
      <c r="F51" s="142">
        <v>5</v>
      </c>
      <c r="G51" s="143">
        <f t="shared" si="4"/>
        <v>100.48</v>
      </c>
      <c r="H51" s="144" t="s">
        <v>110</v>
      </c>
    </row>
    <row r="52" spans="1:8">
      <c r="A52" s="145" t="s">
        <v>105</v>
      </c>
      <c r="B52" s="97" t="s">
        <v>32</v>
      </c>
      <c r="C52" s="142" t="s">
        <v>99</v>
      </c>
      <c r="D52" s="142">
        <v>178</v>
      </c>
      <c r="E52" s="142">
        <v>400</v>
      </c>
      <c r="F52" s="142">
        <v>5</v>
      </c>
      <c r="G52" s="143">
        <f t="shared" si="4"/>
        <v>33.5352</v>
      </c>
      <c r="H52" s="144" t="s">
        <v>110</v>
      </c>
    </row>
    <row r="53" spans="1:8">
      <c r="A53" s="145" t="s">
        <v>106</v>
      </c>
      <c r="B53" s="97" t="s">
        <v>32</v>
      </c>
      <c r="C53" s="142" t="s">
        <v>99</v>
      </c>
      <c r="D53" s="142">
        <v>381</v>
      </c>
      <c r="E53" s="142">
        <v>340</v>
      </c>
      <c r="F53" s="142">
        <v>10</v>
      </c>
      <c r="G53" s="143">
        <f t="shared" si="4"/>
        <v>122.02668</v>
      </c>
      <c r="H53" s="144" t="s">
        <v>110</v>
      </c>
    </row>
    <row r="54" spans="1:8">
      <c r="A54" s="96" t="s">
        <v>11</v>
      </c>
      <c r="B54" s="97" t="s">
        <v>32</v>
      </c>
      <c r="C54" s="142" t="s">
        <v>96</v>
      </c>
      <c r="D54" s="142">
        <v>4500</v>
      </c>
      <c r="E54" s="142">
        <v>81960</v>
      </c>
      <c r="F54" s="142" t="s">
        <v>97</v>
      </c>
      <c r="G54" s="143">
        <f t="shared" si="4"/>
        <v>46323.792</v>
      </c>
      <c r="H54" s="144" t="s">
        <v>111</v>
      </c>
    </row>
    <row r="55" ht="27" spans="1:8">
      <c r="A55" s="96" t="s">
        <v>12</v>
      </c>
      <c r="B55" s="97" t="s">
        <v>32</v>
      </c>
      <c r="C55" s="142" t="s">
        <v>13</v>
      </c>
      <c r="D55" s="142"/>
      <c r="E55" s="142">
        <v>81960</v>
      </c>
      <c r="F55" s="142">
        <v>2</v>
      </c>
      <c r="G55" s="143">
        <f>(568+340+568+340)*E55*16*7850/1000000000*F55</f>
        <v>37388.447232</v>
      </c>
      <c r="H55" s="144" t="s">
        <v>111</v>
      </c>
    </row>
    <row r="56" spans="1:8">
      <c r="A56" s="96" t="s">
        <v>15</v>
      </c>
      <c r="B56" s="97" t="s">
        <v>32</v>
      </c>
      <c r="C56" s="142" t="s">
        <v>99</v>
      </c>
      <c r="D56" s="142" t="s">
        <v>100</v>
      </c>
      <c r="E56" s="142" t="s">
        <v>101</v>
      </c>
      <c r="F56" s="142">
        <v>86</v>
      </c>
      <c r="G56" s="143">
        <f t="shared" ref="G56:G64" si="5">E56*D56*C56*7850/1000000000*F56</f>
        <v>1417.2563328</v>
      </c>
      <c r="H56" s="144" t="s">
        <v>111</v>
      </c>
    </row>
    <row r="57" spans="1:8">
      <c r="A57" s="96" t="s">
        <v>16</v>
      </c>
      <c r="B57" s="97" t="s">
        <v>32</v>
      </c>
      <c r="C57" s="142" t="s">
        <v>99</v>
      </c>
      <c r="D57" s="142" t="s">
        <v>102</v>
      </c>
      <c r="E57" s="142">
        <v>2500</v>
      </c>
      <c r="F57" s="142">
        <v>43</v>
      </c>
      <c r="G57" s="143">
        <f t="shared" si="5"/>
        <v>3280.986</v>
      </c>
      <c r="H57" s="144" t="s">
        <v>111</v>
      </c>
    </row>
    <row r="58" spans="1:8">
      <c r="A58" s="96" t="s">
        <v>17</v>
      </c>
      <c r="B58" s="97" t="s">
        <v>32</v>
      </c>
      <c r="C58" s="142" t="s">
        <v>99</v>
      </c>
      <c r="D58" s="142">
        <v>340</v>
      </c>
      <c r="E58" s="142">
        <v>400</v>
      </c>
      <c r="F58" s="142">
        <v>86</v>
      </c>
      <c r="G58" s="143">
        <f t="shared" si="5"/>
        <v>1101.7632</v>
      </c>
      <c r="H58" s="144" t="s">
        <v>111</v>
      </c>
    </row>
    <row r="59" spans="1:8">
      <c r="A59" s="96" t="s">
        <v>18</v>
      </c>
      <c r="B59" s="97" t="s">
        <v>32</v>
      </c>
      <c r="C59" s="142" t="s">
        <v>96</v>
      </c>
      <c r="D59" s="142">
        <v>2500</v>
      </c>
      <c r="E59" s="142">
        <v>81960</v>
      </c>
      <c r="F59" s="142">
        <v>1</v>
      </c>
      <c r="G59" s="143">
        <f t="shared" si="5"/>
        <v>25735.44</v>
      </c>
      <c r="H59" s="144" t="s">
        <v>111</v>
      </c>
    </row>
    <row r="60" spans="1:8">
      <c r="A60" s="96" t="s">
        <v>19</v>
      </c>
      <c r="B60" s="97" t="s">
        <v>32</v>
      </c>
      <c r="C60" s="142" t="s">
        <v>96</v>
      </c>
      <c r="D60" s="142" t="s">
        <v>103</v>
      </c>
      <c r="E60" s="142">
        <v>81960</v>
      </c>
      <c r="F60" s="142">
        <v>2</v>
      </c>
      <c r="G60" s="143">
        <f t="shared" si="5"/>
        <v>9923.585664</v>
      </c>
      <c r="H60" s="144" t="s">
        <v>111</v>
      </c>
    </row>
    <row r="61" spans="1:8">
      <c r="A61" s="145" t="s">
        <v>104</v>
      </c>
      <c r="B61" s="97" t="s">
        <v>32</v>
      </c>
      <c r="C61" s="142">
        <v>16</v>
      </c>
      <c r="D61" s="142">
        <v>400</v>
      </c>
      <c r="E61" s="142">
        <v>400</v>
      </c>
      <c r="F61" s="142">
        <v>5</v>
      </c>
      <c r="G61" s="143">
        <f t="shared" si="5"/>
        <v>100.48</v>
      </c>
      <c r="H61" s="144" t="s">
        <v>111</v>
      </c>
    </row>
    <row r="62" spans="1:8">
      <c r="A62" s="145" t="s">
        <v>105</v>
      </c>
      <c r="B62" s="97" t="s">
        <v>32</v>
      </c>
      <c r="C62" s="142" t="s">
        <v>99</v>
      </c>
      <c r="D62" s="142">
        <v>178</v>
      </c>
      <c r="E62" s="142">
        <v>400</v>
      </c>
      <c r="F62" s="142">
        <v>5</v>
      </c>
      <c r="G62" s="143">
        <f t="shared" si="5"/>
        <v>33.5352</v>
      </c>
      <c r="H62" s="144" t="s">
        <v>111</v>
      </c>
    </row>
    <row r="63" spans="1:8">
      <c r="A63" s="145" t="s">
        <v>106</v>
      </c>
      <c r="B63" s="97" t="s">
        <v>32</v>
      </c>
      <c r="C63" s="142" t="s">
        <v>99</v>
      </c>
      <c r="D63" s="142">
        <v>381</v>
      </c>
      <c r="E63" s="142">
        <v>340</v>
      </c>
      <c r="F63" s="142">
        <v>10</v>
      </c>
      <c r="G63" s="143">
        <f t="shared" si="5"/>
        <v>122.02668</v>
      </c>
      <c r="H63" s="144" t="s">
        <v>111</v>
      </c>
    </row>
    <row r="64" spans="1:8">
      <c r="A64" s="96" t="s">
        <v>11</v>
      </c>
      <c r="B64" s="97" t="s">
        <v>32</v>
      </c>
      <c r="C64" s="142" t="s">
        <v>96</v>
      </c>
      <c r="D64" s="142">
        <v>4500</v>
      </c>
      <c r="E64" s="142">
        <v>113260</v>
      </c>
      <c r="F64" s="142" t="s">
        <v>97</v>
      </c>
      <c r="G64" s="143">
        <f t="shared" si="5"/>
        <v>64014.552</v>
      </c>
      <c r="H64" s="144" t="s">
        <v>112</v>
      </c>
    </row>
    <row r="65" ht="27" spans="1:8">
      <c r="A65" s="96" t="s">
        <v>12</v>
      </c>
      <c r="B65" s="97" t="s">
        <v>32</v>
      </c>
      <c r="C65" s="142" t="s">
        <v>13</v>
      </c>
      <c r="D65" s="142"/>
      <c r="E65" s="142">
        <v>113260</v>
      </c>
      <c r="F65" s="142">
        <v>2</v>
      </c>
      <c r="G65" s="143">
        <f>(568+340+568+340)*E65*16*7850/1000000000*F65</f>
        <v>51666.856192</v>
      </c>
      <c r="H65" s="144" t="s">
        <v>112</v>
      </c>
    </row>
    <row r="66" spans="1:8">
      <c r="A66" s="96" t="s">
        <v>15</v>
      </c>
      <c r="B66" s="97" t="s">
        <v>32</v>
      </c>
      <c r="C66" s="142" t="s">
        <v>99</v>
      </c>
      <c r="D66" s="142" t="s">
        <v>100</v>
      </c>
      <c r="E66" s="142" t="s">
        <v>101</v>
      </c>
      <c r="F66" s="142">
        <v>118</v>
      </c>
      <c r="G66" s="143">
        <f t="shared" ref="G66:G73" si="6">E66*D66*C66*7850/1000000000*F66</f>
        <v>1944.6075264</v>
      </c>
      <c r="H66" s="144" t="s">
        <v>112</v>
      </c>
    </row>
    <row r="67" spans="1:8">
      <c r="A67" s="96" t="s">
        <v>16</v>
      </c>
      <c r="B67" s="97" t="s">
        <v>32</v>
      </c>
      <c r="C67" s="142" t="s">
        <v>99</v>
      </c>
      <c r="D67" s="142" t="s">
        <v>102</v>
      </c>
      <c r="E67" s="142">
        <v>2500</v>
      </c>
      <c r="F67" s="142">
        <v>59</v>
      </c>
      <c r="G67" s="143">
        <f t="shared" si="6"/>
        <v>4501.818</v>
      </c>
      <c r="H67" s="144" t="s">
        <v>112</v>
      </c>
    </row>
    <row r="68" spans="1:8">
      <c r="A68" s="96" t="s">
        <v>17</v>
      </c>
      <c r="B68" s="97" t="s">
        <v>32</v>
      </c>
      <c r="C68" s="142" t="s">
        <v>99</v>
      </c>
      <c r="D68" s="142">
        <v>340</v>
      </c>
      <c r="E68" s="142">
        <v>400</v>
      </c>
      <c r="F68" s="142">
        <v>118</v>
      </c>
      <c r="G68" s="143">
        <f t="shared" si="6"/>
        <v>1511.7216</v>
      </c>
      <c r="H68" s="144" t="s">
        <v>112</v>
      </c>
    </row>
    <row r="69" spans="1:8">
      <c r="A69" s="96" t="s">
        <v>18</v>
      </c>
      <c r="B69" s="97" t="s">
        <v>32</v>
      </c>
      <c r="C69" s="142" t="s">
        <v>96</v>
      </c>
      <c r="D69" s="142">
        <v>2500</v>
      </c>
      <c r="E69" s="142">
        <v>113260</v>
      </c>
      <c r="F69" s="142">
        <v>1</v>
      </c>
      <c r="G69" s="143">
        <f t="shared" si="6"/>
        <v>35563.64</v>
      </c>
      <c r="H69" s="144" t="s">
        <v>112</v>
      </c>
    </row>
    <row r="70" spans="1:8">
      <c r="A70" s="96" t="s">
        <v>19</v>
      </c>
      <c r="B70" s="97" t="s">
        <v>32</v>
      </c>
      <c r="C70" s="142" t="s">
        <v>96</v>
      </c>
      <c r="D70" s="142" t="s">
        <v>103</v>
      </c>
      <c r="E70" s="142">
        <v>113260</v>
      </c>
      <c r="F70" s="142">
        <v>2</v>
      </c>
      <c r="G70" s="143">
        <f t="shared" si="6"/>
        <v>13713.339584</v>
      </c>
      <c r="H70" s="144" t="s">
        <v>112</v>
      </c>
    </row>
    <row r="71" spans="1:8">
      <c r="A71" s="145" t="s">
        <v>104</v>
      </c>
      <c r="B71" s="97" t="s">
        <v>32</v>
      </c>
      <c r="C71" s="142">
        <v>16</v>
      </c>
      <c r="D71" s="142">
        <v>400</v>
      </c>
      <c r="E71" s="142">
        <v>400</v>
      </c>
      <c r="F71" s="142">
        <v>6</v>
      </c>
      <c r="G71" s="143">
        <f t="shared" si="6"/>
        <v>120.576</v>
      </c>
      <c r="H71" s="144" t="s">
        <v>112</v>
      </c>
    </row>
    <row r="72" spans="1:8">
      <c r="A72" s="145" t="s">
        <v>105</v>
      </c>
      <c r="B72" s="97" t="s">
        <v>32</v>
      </c>
      <c r="C72" s="142" t="s">
        <v>99</v>
      </c>
      <c r="D72" s="142">
        <v>178</v>
      </c>
      <c r="E72" s="142">
        <v>400</v>
      </c>
      <c r="F72" s="142">
        <v>6</v>
      </c>
      <c r="G72" s="143">
        <f t="shared" si="6"/>
        <v>40.24224</v>
      </c>
      <c r="H72" s="144" t="s">
        <v>112</v>
      </c>
    </row>
    <row r="73" spans="1:8">
      <c r="A73" s="145" t="s">
        <v>106</v>
      </c>
      <c r="B73" s="97" t="s">
        <v>32</v>
      </c>
      <c r="C73" s="142" t="s">
        <v>99</v>
      </c>
      <c r="D73" s="142">
        <v>381</v>
      </c>
      <c r="E73" s="142">
        <v>340</v>
      </c>
      <c r="F73" s="142">
        <v>12</v>
      </c>
      <c r="G73" s="143">
        <f t="shared" si="6"/>
        <v>146.432016</v>
      </c>
      <c r="H73" s="144" t="s">
        <v>112</v>
      </c>
    </row>
  </sheetData>
  <autoFilter ref="A3:H73">
    <extLst/>
  </autoFilter>
  <mergeCells count="6">
    <mergeCell ref="A1:H1"/>
    <mergeCell ref="A2:A3"/>
    <mergeCell ref="B2:B3"/>
    <mergeCell ref="F2:F3"/>
    <mergeCell ref="G2:G3"/>
    <mergeCell ref="H2:H3"/>
  </mergeCells>
  <pageMargins left="0.75" right="0.75" top="1" bottom="1" header="0.5" footer="0.5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/>
  <dimension ref="A1:H184"/>
  <sheetViews>
    <sheetView workbookViewId="0">
      <selection activeCell="F21" sqref="F21"/>
    </sheetView>
  </sheetViews>
  <sheetFormatPr defaultColWidth="9" defaultRowHeight="13.5" outlineLevelCol="7"/>
  <sheetData>
    <row r="1" spans="1:8">
      <c r="A1" s="70" t="s">
        <v>0</v>
      </c>
      <c r="B1" s="70" t="s">
        <v>24</v>
      </c>
      <c r="C1" s="70" t="s">
        <v>1</v>
      </c>
      <c r="D1" s="70"/>
      <c r="E1" s="70"/>
      <c r="F1" s="70" t="s">
        <v>2</v>
      </c>
      <c r="G1" s="70" t="s">
        <v>3</v>
      </c>
      <c r="H1" s="70" t="s">
        <v>30</v>
      </c>
    </row>
    <row r="2" ht="27" spans="1:8">
      <c r="A2" s="70"/>
      <c r="B2" s="70"/>
      <c r="C2" s="70" t="s">
        <v>8</v>
      </c>
      <c r="D2" s="70" t="s">
        <v>9</v>
      </c>
      <c r="E2" s="70" t="s">
        <v>10</v>
      </c>
      <c r="F2" s="70"/>
      <c r="G2" s="70"/>
      <c r="H2" s="70"/>
    </row>
    <row r="3" spans="1:8">
      <c r="A3" s="70" t="s">
        <v>11</v>
      </c>
      <c r="B3" s="70" t="s">
        <v>32</v>
      </c>
      <c r="C3" s="70">
        <v>16</v>
      </c>
      <c r="D3" s="70">
        <v>4500</v>
      </c>
      <c r="E3" s="70">
        <v>82460</v>
      </c>
      <c r="F3" s="70">
        <v>1</v>
      </c>
      <c r="G3" s="70">
        <v>46606.39</v>
      </c>
      <c r="H3" s="70" t="s">
        <v>113</v>
      </c>
    </row>
    <row r="4" ht="27" spans="1:8">
      <c r="A4" s="70" t="s">
        <v>12</v>
      </c>
      <c r="B4" s="70" t="s">
        <v>32</v>
      </c>
      <c r="C4" s="70" t="s">
        <v>13</v>
      </c>
      <c r="D4" s="70"/>
      <c r="E4" s="70">
        <v>82460</v>
      </c>
      <c r="F4" s="70">
        <v>2</v>
      </c>
      <c r="G4" s="70">
        <v>38942.23</v>
      </c>
      <c r="H4" s="70"/>
    </row>
    <row r="5" spans="1:8">
      <c r="A5" s="70" t="s">
        <v>15</v>
      </c>
      <c r="B5" s="70" t="s">
        <v>32</v>
      </c>
      <c r="C5" s="70">
        <v>12</v>
      </c>
      <c r="D5" s="70">
        <v>308</v>
      </c>
      <c r="E5" s="70">
        <v>568</v>
      </c>
      <c r="F5" s="74">
        <v>86</v>
      </c>
      <c r="G5" s="70">
        <v>1417.26</v>
      </c>
      <c r="H5" s="70"/>
    </row>
    <row r="6" spans="1:8">
      <c r="A6" s="70" t="s">
        <v>16</v>
      </c>
      <c r="B6" s="70" t="s">
        <v>32</v>
      </c>
      <c r="C6" s="70">
        <v>12</v>
      </c>
      <c r="D6" s="70">
        <v>324</v>
      </c>
      <c r="E6" s="70">
        <v>2500</v>
      </c>
      <c r="F6" s="74">
        <v>43</v>
      </c>
      <c r="G6" s="70">
        <v>3280.99</v>
      </c>
      <c r="H6" s="70"/>
    </row>
    <row r="7" spans="1:8">
      <c r="A7" s="70" t="s">
        <v>17</v>
      </c>
      <c r="B7" s="70" t="s">
        <v>32</v>
      </c>
      <c r="C7" s="70">
        <v>12</v>
      </c>
      <c r="D7" s="70">
        <v>324</v>
      </c>
      <c r="E7" s="70">
        <v>400</v>
      </c>
      <c r="F7" s="74">
        <v>86</v>
      </c>
      <c r="G7" s="70">
        <v>1049.92</v>
      </c>
      <c r="H7" s="70"/>
    </row>
    <row r="8" spans="1:8">
      <c r="A8" s="70" t="s">
        <v>18</v>
      </c>
      <c r="B8" s="70" t="s">
        <v>32</v>
      </c>
      <c r="C8" s="70">
        <v>16</v>
      </c>
      <c r="D8" s="70">
        <v>2500</v>
      </c>
      <c r="E8" s="70">
        <v>82460</v>
      </c>
      <c r="F8" s="70">
        <v>1</v>
      </c>
      <c r="G8" s="70">
        <v>25892.44</v>
      </c>
      <c r="H8" s="70"/>
    </row>
    <row r="9" spans="1:8">
      <c r="A9" s="70" t="s">
        <v>19</v>
      </c>
      <c r="B9" s="70" t="s">
        <v>32</v>
      </c>
      <c r="C9" s="70">
        <v>16</v>
      </c>
      <c r="D9" s="70">
        <v>482</v>
      </c>
      <c r="E9" s="70">
        <v>82460</v>
      </c>
      <c r="F9" s="70">
        <v>2</v>
      </c>
      <c r="G9" s="70">
        <v>9984.12</v>
      </c>
      <c r="H9" s="70"/>
    </row>
    <row r="10" spans="1:8">
      <c r="A10" s="70" t="s">
        <v>114</v>
      </c>
      <c r="B10" s="70"/>
      <c r="C10" s="70"/>
      <c r="D10" s="70"/>
      <c r="E10" s="70"/>
      <c r="F10" s="70"/>
      <c r="G10" s="70">
        <v>1.91</v>
      </c>
      <c r="H10" s="70"/>
    </row>
    <row r="11" spans="1:8">
      <c r="A11" s="70" t="s">
        <v>115</v>
      </c>
      <c r="B11" s="70"/>
      <c r="C11" s="70"/>
      <c r="D11" s="70"/>
      <c r="E11" s="70"/>
      <c r="F11" s="70"/>
      <c r="G11" s="70">
        <v>129.08</v>
      </c>
      <c r="H11" s="70"/>
    </row>
    <row r="12" spans="1:8">
      <c r="A12" s="70" t="s">
        <v>116</v>
      </c>
      <c r="B12" s="70"/>
      <c r="C12" s="70"/>
      <c r="D12" s="70"/>
      <c r="E12" s="70"/>
      <c r="F12" s="70"/>
      <c r="G12" s="70">
        <v>1.95</v>
      </c>
      <c r="H12" s="70"/>
    </row>
    <row r="13" spans="1:8">
      <c r="A13" s="70" t="s">
        <v>117</v>
      </c>
      <c r="B13" s="70"/>
      <c r="C13" s="70"/>
      <c r="D13" s="70"/>
      <c r="E13" s="70"/>
      <c r="F13" s="70"/>
      <c r="G13" s="70">
        <v>371.07</v>
      </c>
      <c r="H13" s="70"/>
    </row>
    <row r="14" spans="1:8">
      <c r="A14" s="70" t="s">
        <v>118</v>
      </c>
      <c r="B14" s="70"/>
      <c r="C14" s="70"/>
      <c r="D14" s="70"/>
      <c r="E14" s="70"/>
      <c r="F14" s="70"/>
      <c r="G14" s="70">
        <v>22.26</v>
      </c>
      <c r="H14" s="70"/>
    </row>
    <row r="15" spans="1:8">
      <c r="A15" s="70" t="s">
        <v>119</v>
      </c>
      <c r="B15" s="70"/>
      <c r="C15" s="70"/>
      <c r="D15" s="70"/>
      <c r="E15" s="70"/>
      <c r="F15" s="70"/>
      <c r="G15" s="70">
        <v>371.07</v>
      </c>
      <c r="H15" s="70"/>
    </row>
    <row r="16" spans="1:8">
      <c r="A16" s="70" t="s">
        <v>120</v>
      </c>
      <c r="B16" s="70"/>
      <c r="C16" s="70"/>
      <c r="D16" s="70"/>
      <c r="E16" s="70"/>
      <c r="F16" s="70"/>
      <c r="G16" s="70">
        <v>22.26</v>
      </c>
      <c r="H16" s="70"/>
    </row>
    <row r="17" spans="1:8">
      <c r="A17" s="70" t="s">
        <v>0</v>
      </c>
      <c r="B17" s="70" t="s">
        <v>24</v>
      </c>
      <c r="C17" s="70" t="s">
        <v>1</v>
      </c>
      <c r="D17" s="70"/>
      <c r="E17" s="70"/>
      <c r="F17" s="70" t="s">
        <v>2</v>
      </c>
      <c r="G17" s="70" t="s">
        <v>3</v>
      </c>
      <c r="H17" s="70" t="s">
        <v>30</v>
      </c>
    </row>
    <row r="18" ht="27" spans="1:8">
      <c r="A18" s="70"/>
      <c r="B18" s="70"/>
      <c r="C18" s="70" t="s">
        <v>8</v>
      </c>
      <c r="D18" s="70" t="s">
        <v>9</v>
      </c>
      <c r="E18" s="70" t="s">
        <v>10</v>
      </c>
      <c r="F18" s="70"/>
      <c r="G18" s="70"/>
      <c r="H18" s="70"/>
    </row>
    <row r="19" spans="1:8">
      <c r="A19" s="70" t="s">
        <v>11</v>
      </c>
      <c r="B19" s="70" t="s">
        <v>32</v>
      </c>
      <c r="C19" s="70">
        <v>16</v>
      </c>
      <c r="D19" s="70">
        <v>4500</v>
      </c>
      <c r="E19" s="70">
        <v>81960</v>
      </c>
      <c r="F19" s="70">
        <v>1</v>
      </c>
      <c r="G19" s="70">
        <v>46323.79</v>
      </c>
      <c r="H19" s="70" t="s">
        <v>121</v>
      </c>
    </row>
    <row r="20" ht="27" spans="1:8">
      <c r="A20" s="70" t="s">
        <v>12</v>
      </c>
      <c r="B20" s="70" t="s">
        <v>32</v>
      </c>
      <c r="C20" s="70" t="s">
        <v>13</v>
      </c>
      <c r="D20" s="70"/>
      <c r="E20" s="70">
        <v>81960</v>
      </c>
      <c r="F20" s="70">
        <v>2</v>
      </c>
      <c r="G20" s="70">
        <v>38706.1</v>
      </c>
      <c r="H20" s="70"/>
    </row>
    <row r="21" spans="1:8">
      <c r="A21" s="70" t="s">
        <v>15</v>
      </c>
      <c r="B21" s="70" t="s">
        <v>32</v>
      </c>
      <c r="C21" s="70">
        <v>12</v>
      </c>
      <c r="D21" s="70">
        <v>308</v>
      </c>
      <c r="E21" s="70">
        <v>568</v>
      </c>
      <c r="F21" s="74">
        <v>86</v>
      </c>
      <c r="G21" s="70">
        <v>1417.26</v>
      </c>
      <c r="H21" s="70"/>
    </row>
    <row r="22" spans="1:8">
      <c r="A22" s="70" t="s">
        <v>16</v>
      </c>
      <c r="B22" s="70" t="s">
        <v>32</v>
      </c>
      <c r="C22" s="70">
        <v>12</v>
      </c>
      <c r="D22" s="70">
        <v>324</v>
      </c>
      <c r="E22" s="70">
        <v>2500</v>
      </c>
      <c r="F22" s="74">
        <v>43</v>
      </c>
      <c r="G22" s="70">
        <v>3280.99</v>
      </c>
      <c r="H22" s="70"/>
    </row>
    <row r="23" spans="1:8">
      <c r="A23" s="70" t="s">
        <v>17</v>
      </c>
      <c r="B23" s="70" t="s">
        <v>32</v>
      </c>
      <c r="C23" s="70">
        <v>12</v>
      </c>
      <c r="D23" s="70">
        <v>324</v>
      </c>
      <c r="E23" s="70">
        <v>400</v>
      </c>
      <c r="F23" s="74">
        <v>86</v>
      </c>
      <c r="G23" s="70">
        <v>1049.92</v>
      </c>
      <c r="H23" s="70"/>
    </row>
    <row r="24" spans="1:8">
      <c r="A24" s="70" t="s">
        <v>18</v>
      </c>
      <c r="B24" s="70" t="s">
        <v>32</v>
      </c>
      <c r="C24" s="70">
        <v>16</v>
      </c>
      <c r="D24" s="70">
        <v>2500</v>
      </c>
      <c r="E24" s="70">
        <v>81960</v>
      </c>
      <c r="F24" s="70">
        <v>1</v>
      </c>
      <c r="G24" s="70">
        <v>25735.44</v>
      </c>
      <c r="H24" s="70"/>
    </row>
    <row r="25" spans="1:8">
      <c r="A25" s="70" t="s">
        <v>19</v>
      </c>
      <c r="B25" s="70" t="s">
        <v>32</v>
      </c>
      <c r="C25" s="70">
        <v>16</v>
      </c>
      <c r="D25" s="70">
        <v>482</v>
      </c>
      <c r="E25" s="70">
        <v>81960</v>
      </c>
      <c r="F25" s="70">
        <v>2</v>
      </c>
      <c r="G25" s="70">
        <v>9923.59</v>
      </c>
      <c r="H25" s="70"/>
    </row>
    <row r="26" spans="1:8">
      <c r="A26" s="70" t="s">
        <v>114</v>
      </c>
      <c r="B26" s="70"/>
      <c r="C26" s="70"/>
      <c r="D26" s="70"/>
      <c r="E26" s="70"/>
      <c r="F26" s="70"/>
      <c r="G26" s="70">
        <v>1.9</v>
      </c>
      <c r="H26" s="70"/>
    </row>
    <row r="27" spans="1:8">
      <c r="A27" s="70" t="s">
        <v>115</v>
      </c>
      <c r="B27" s="70"/>
      <c r="C27" s="70"/>
      <c r="D27" s="70"/>
      <c r="E27" s="70"/>
      <c r="F27" s="70"/>
      <c r="G27" s="70">
        <v>128.33</v>
      </c>
      <c r="H27" s="70"/>
    </row>
    <row r="28" spans="1:8">
      <c r="A28" s="70" t="s">
        <v>116</v>
      </c>
      <c r="B28" s="70"/>
      <c r="C28" s="70"/>
      <c r="D28" s="70"/>
      <c r="E28" s="70"/>
      <c r="F28" s="70"/>
      <c r="G28" s="70">
        <v>1.94</v>
      </c>
      <c r="H28" s="70"/>
    </row>
    <row r="29" spans="1:8">
      <c r="A29" s="70" t="s">
        <v>117</v>
      </c>
      <c r="B29" s="70"/>
      <c r="C29" s="70"/>
      <c r="D29" s="70"/>
      <c r="E29" s="70"/>
      <c r="F29" s="70"/>
      <c r="G29" s="70">
        <v>368.82</v>
      </c>
      <c r="H29" s="70"/>
    </row>
    <row r="30" spans="1:8">
      <c r="A30" s="70" t="s">
        <v>118</v>
      </c>
      <c r="B30" s="70"/>
      <c r="C30" s="70"/>
      <c r="D30" s="70"/>
      <c r="E30" s="70"/>
      <c r="F30" s="70"/>
      <c r="G30" s="70">
        <v>22.13</v>
      </c>
      <c r="H30" s="70"/>
    </row>
    <row r="31" spans="1:8">
      <c r="A31" s="70" t="s">
        <v>119</v>
      </c>
      <c r="B31" s="70"/>
      <c r="C31" s="70"/>
      <c r="D31" s="70"/>
      <c r="E31" s="70"/>
      <c r="F31" s="70"/>
      <c r="G31" s="70">
        <v>368.82</v>
      </c>
      <c r="H31" s="70"/>
    </row>
    <row r="32" spans="1:8">
      <c r="A32" s="70" t="s">
        <v>120</v>
      </c>
      <c r="B32" s="70"/>
      <c r="C32" s="70"/>
      <c r="D32" s="70"/>
      <c r="E32" s="70"/>
      <c r="F32" s="70"/>
      <c r="G32" s="70">
        <v>22.13</v>
      </c>
      <c r="H32" s="70"/>
    </row>
    <row r="33" spans="1:8">
      <c r="A33" s="70" t="s">
        <v>0</v>
      </c>
      <c r="B33" s="70" t="s">
        <v>24</v>
      </c>
      <c r="C33" s="70" t="s">
        <v>1</v>
      </c>
      <c r="D33" s="70"/>
      <c r="E33" s="70"/>
      <c r="F33" s="70" t="s">
        <v>2</v>
      </c>
      <c r="G33" s="70" t="s">
        <v>3</v>
      </c>
      <c r="H33" s="70" t="s">
        <v>30</v>
      </c>
    </row>
    <row r="34" ht="27" spans="1:8">
      <c r="A34" s="70"/>
      <c r="B34" s="70"/>
      <c r="C34" s="70" t="s">
        <v>8</v>
      </c>
      <c r="D34" s="70" t="s">
        <v>9</v>
      </c>
      <c r="E34" s="70" t="s">
        <v>10</v>
      </c>
      <c r="F34" s="70"/>
      <c r="G34" s="70"/>
      <c r="H34" s="70"/>
    </row>
    <row r="35" spans="1:8">
      <c r="A35" s="70" t="s">
        <v>11</v>
      </c>
      <c r="B35" s="70" t="s">
        <v>32</v>
      </c>
      <c r="C35" s="70">
        <v>16</v>
      </c>
      <c r="D35" s="70">
        <v>4500</v>
      </c>
      <c r="E35" s="70">
        <v>81960</v>
      </c>
      <c r="F35" s="70">
        <v>1</v>
      </c>
      <c r="G35" s="70">
        <v>46323.79</v>
      </c>
      <c r="H35" s="70" t="s">
        <v>122</v>
      </c>
    </row>
    <row r="36" ht="27" spans="1:8">
      <c r="A36" s="70" t="s">
        <v>12</v>
      </c>
      <c r="B36" s="70" t="s">
        <v>32</v>
      </c>
      <c r="C36" s="70" t="s">
        <v>13</v>
      </c>
      <c r="D36" s="70"/>
      <c r="E36" s="70">
        <v>81960</v>
      </c>
      <c r="F36" s="70">
        <v>2</v>
      </c>
      <c r="G36" s="70">
        <v>38706.1</v>
      </c>
      <c r="H36" s="70"/>
    </row>
    <row r="37" spans="1:8">
      <c r="A37" s="70" t="s">
        <v>15</v>
      </c>
      <c r="B37" s="70" t="s">
        <v>32</v>
      </c>
      <c r="C37" s="70">
        <v>12</v>
      </c>
      <c r="D37" s="70">
        <v>308</v>
      </c>
      <c r="E37" s="70">
        <v>568</v>
      </c>
      <c r="F37" s="74">
        <v>86</v>
      </c>
      <c r="G37" s="70">
        <v>1417.26</v>
      </c>
      <c r="H37" s="70"/>
    </row>
    <row r="38" spans="1:8">
      <c r="A38" s="70" t="s">
        <v>16</v>
      </c>
      <c r="B38" s="70" t="s">
        <v>32</v>
      </c>
      <c r="C38" s="70">
        <v>12</v>
      </c>
      <c r="D38" s="70">
        <v>324</v>
      </c>
      <c r="E38" s="70">
        <v>2500</v>
      </c>
      <c r="F38" s="74">
        <v>43</v>
      </c>
      <c r="G38" s="70">
        <v>3280.99</v>
      </c>
      <c r="H38" s="70"/>
    </row>
    <row r="39" spans="1:8">
      <c r="A39" s="70" t="s">
        <v>17</v>
      </c>
      <c r="B39" s="70" t="s">
        <v>32</v>
      </c>
      <c r="C39" s="70">
        <v>12</v>
      </c>
      <c r="D39" s="70">
        <v>324</v>
      </c>
      <c r="E39" s="70">
        <v>400</v>
      </c>
      <c r="F39" s="74">
        <v>86</v>
      </c>
      <c r="G39" s="70">
        <v>1049.92</v>
      </c>
      <c r="H39" s="70"/>
    </row>
    <row r="40" spans="1:8">
      <c r="A40" s="70" t="s">
        <v>18</v>
      </c>
      <c r="B40" s="70" t="s">
        <v>32</v>
      </c>
      <c r="C40" s="70">
        <v>16</v>
      </c>
      <c r="D40" s="70">
        <v>2500</v>
      </c>
      <c r="E40" s="70">
        <v>81960</v>
      </c>
      <c r="F40" s="70">
        <v>1</v>
      </c>
      <c r="G40" s="70">
        <v>25735.44</v>
      </c>
      <c r="H40" s="70"/>
    </row>
    <row r="41" spans="1:8">
      <c r="A41" s="70" t="s">
        <v>19</v>
      </c>
      <c r="B41" s="70" t="s">
        <v>32</v>
      </c>
      <c r="C41" s="70">
        <v>16</v>
      </c>
      <c r="D41" s="70">
        <v>482</v>
      </c>
      <c r="E41" s="70">
        <v>81960</v>
      </c>
      <c r="F41" s="70">
        <v>2</v>
      </c>
      <c r="G41" s="70">
        <v>9923.59</v>
      </c>
      <c r="H41" s="70"/>
    </row>
    <row r="42" spans="1:8">
      <c r="A42" s="70" t="s">
        <v>114</v>
      </c>
      <c r="B42" s="70"/>
      <c r="C42" s="70"/>
      <c r="D42" s="70"/>
      <c r="E42" s="70"/>
      <c r="F42" s="70"/>
      <c r="G42" s="70">
        <v>1.9</v>
      </c>
      <c r="H42" s="70"/>
    </row>
    <row r="43" spans="1:8">
      <c r="A43" s="70" t="s">
        <v>115</v>
      </c>
      <c r="B43" s="70"/>
      <c r="C43" s="70"/>
      <c r="D43" s="70"/>
      <c r="E43" s="70"/>
      <c r="F43" s="70"/>
      <c r="G43" s="70">
        <v>128.33</v>
      </c>
      <c r="H43" s="70"/>
    </row>
    <row r="44" spans="1:8">
      <c r="A44" s="70" t="s">
        <v>116</v>
      </c>
      <c r="B44" s="70"/>
      <c r="C44" s="70"/>
      <c r="D44" s="70"/>
      <c r="E44" s="70"/>
      <c r="F44" s="70"/>
      <c r="G44" s="70">
        <v>1.94</v>
      </c>
      <c r="H44" s="70"/>
    </row>
    <row r="45" spans="1:8">
      <c r="A45" s="70" t="s">
        <v>117</v>
      </c>
      <c r="B45" s="70"/>
      <c r="C45" s="70"/>
      <c r="D45" s="70"/>
      <c r="E45" s="70"/>
      <c r="F45" s="70"/>
      <c r="G45" s="70">
        <v>368.82</v>
      </c>
      <c r="H45" s="70"/>
    </row>
    <row r="46" spans="1:8">
      <c r="A46" s="70" t="s">
        <v>118</v>
      </c>
      <c r="B46" s="70"/>
      <c r="C46" s="70"/>
      <c r="D46" s="70"/>
      <c r="E46" s="70"/>
      <c r="F46" s="70"/>
      <c r="G46" s="70">
        <v>22.13</v>
      </c>
      <c r="H46" s="70"/>
    </row>
    <row r="47" spans="1:8">
      <c r="A47" s="70" t="s">
        <v>119</v>
      </c>
      <c r="B47" s="70"/>
      <c r="C47" s="70"/>
      <c r="D47" s="70"/>
      <c r="E47" s="70"/>
      <c r="F47" s="70"/>
      <c r="G47" s="70">
        <v>368.82</v>
      </c>
      <c r="H47" s="70"/>
    </row>
    <row r="48" spans="1:8">
      <c r="A48" s="70" t="s">
        <v>120</v>
      </c>
      <c r="B48" s="70"/>
      <c r="C48" s="70"/>
      <c r="D48" s="70"/>
      <c r="E48" s="70"/>
      <c r="F48" s="70"/>
      <c r="G48" s="70">
        <v>22.13</v>
      </c>
      <c r="H48" s="70"/>
    </row>
    <row r="49" spans="1:8">
      <c r="A49" s="70" t="s">
        <v>0</v>
      </c>
      <c r="B49" s="70" t="s">
        <v>24</v>
      </c>
      <c r="C49" s="70" t="s">
        <v>1</v>
      </c>
      <c r="D49" s="70"/>
      <c r="E49" s="70"/>
      <c r="F49" s="70" t="s">
        <v>2</v>
      </c>
      <c r="G49" s="70" t="s">
        <v>3</v>
      </c>
      <c r="H49" s="70" t="s">
        <v>30</v>
      </c>
    </row>
    <row r="50" ht="27" spans="1:8">
      <c r="A50" s="70"/>
      <c r="B50" s="70"/>
      <c r="C50" s="70" t="s">
        <v>8</v>
      </c>
      <c r="D50" s="70" t="s">
        <v>9</v>
      </c>
      <c r="E50" s="70" t="s">
        <v>10</v>
      </c>
      <c r="F50" s="70"/>
      <c r="G50" s="70"/>
      <c r="H50" s="70"/>
    </row>
    <row r="51" spans="1:8">
      <c r="A51" s="70" t="s">
        <v>11</v>
      </c>
      <c r="B51" s="70" t="s">
        <v>32</v>
      </c>
      <c r="C51" s="70">
        <v>16</v>
      </c>
      <c r="D51" s="70">
        <v>4500</v>
      </c>
      <c r="E51" s="70">
        <v>81360</v>
      </c>
      <c r="F51" s="70">
        <v>1</v>
      </c>
      <c r="G51" s="70">
        <v>45984.67</v>
      </c>
      <c r="H51" s="70" t="s">
        <v>123</v>
      </c>
    </row>
    <row r="52" ht="27" spans="1:8">
      <c r="A52" s="70" t="s">
        <v>12</v>
      </c>
      <c r="B52" s="70" t="s">
        <v>32</v>
      </c>
      <c r="C52" s="70" t="s">
        <v>13</v>
      </c>
      <c r="D52" s="70"/>
      <c r="E52" s="70">
        <v>81360</v>
      </c>
      <c r="F52" s="70">
        <v>2</v>
      </c>
      <c r="G52" s="70">
        <v>38422.75</v>
      </c>
      <c r="H52" s="70"/>
    </row>
    <row r="53" spans="1:8">
      <c r="A53" s="70" t="s">
        <v>15</v>
      </c>
      <c r="B53" s="70" t="s">
        <v>32</v>
      </c>
      <c r="C53" s="70">
        <v>12</v>
      </c>
      <c r="D53" s="70">
        <v>308</v>
      </c>
      <c r="E53" s="70">
        <v>568</v>
      </c>
      <c r="F53" s="74">
        <v>86</v>
      </c>
      <c r="G53" s="70">
        <v>1417.26</v>
      </c>
      <c r="H53" s="70"/>
    </row>
    <row r="54" spans="1:8">
      <c r="A54" s="70" t="s">
        <v>16</v>
      </c>
      <c r="B54" s="70" t="s">
        <v>32</v>
      </c>
      <c r="C54" s="70">
        <v>12</v>
      </c>
      <c r="D54" s="70">
        <v>324</v>
      </c>
      <c r="E54" s="70">
        <v>2500</v>
      </c>
      <c r="F54" s="74">
        <v>43</v>
      </c>
      <c r="G54" s="70">
        <v>3280.99</v>
      </c>
      <c r="H54" s="70"/>
    </row>
    <row r="55" spans="1:8">
      <c r="A55" s="70" t="s">
        <v>17</v>
      </c>
      <c r="B55" s="70" t="s">
        <v>32</v>
      </c>
      <c r="C55" s="70">
        <v>12</v>
      </c>
      <c r="D55" s="70">
        <v>324</v>
      </c>
      <c r="E55" s="70">
        <v>400</v>
      </c>
      <c r="F55" s="74">
        <v>86</v>
      </c>
      <c r="G55" s="70">
        <v>1049.92</v>
      </c>
      <c r="H55" s="70"/>
    </row>
    <row r="56" spans="1:8">
      <c r="A56" s="70" t="s">
        <v>18</v>
      </c>
      <c r="B56" s="70" t="s">
        <v>32</v>
      </c>
      <c r="C56" s="70">
        <v>16</v>
      </c>
      <c r="D56" s="70">
        <v>2500</v>
      </c>
      <c r="E56" s="70">
        <v>81360</v>
      </c>
      <c r="F56" s="70">
        <v>1</v>
      </c>
      <c r="G56" s="70">
        <v>25547.04</v>
      </c>
      <c r="H56" s="70"/>
    </row>
    <row r="57" spans="1:8">
      <c r="A57" s="70" t="s">
        <v>19</v>
      </c>
      <c r="B57" s="70" t="s">
        <v>32</v>
      </c>
      <c r="C57" s="70">
        <v>16</v>
      </c>
      <c r="D57" s="70">
        <v>482</v>
      </c>
      <c r="E57" s="70">
        <v>81360</v>
      </c>
      <c r="F57" s="70">
        <v>2</v>
      </c>
      <c r="G57" s="70">
        <v>9850.94</v>
      </c>
      <c r="H57" s="70"/>
    </row>
    <row r="58" spans="1:8">
      <c r="A58" s="70" t="s">
        <v>114</v>
      </c>
      <c r="B58" s="70"/>
      <c r="C58" s="70"/>
      <c r="D58" s="70"/>
      <c r="E58" s="70"/>
      <c r="F58" s="70"/>
      <c r="G58" s="70">
        <v>1.88</v>
      </c>
      <c r="H58" s="70"/>
    </row>
    <row r="59" spans="1:8">
      <c r="A59" s="70" t="s">
        <v>115</v>
      </c>
      <c r="B59" s="70"/>
      <c r="C59" s="70"/>
      <c r="D59" s="70"/>
      <c r="E59" s="70"/>
      <c r="F59" s="70"/>
      <c r="G59" s="70">
        <v>127.44</v>
      </c>
      <c r="H59" s="70"/>
    </row>
    <row r="60" spans="1:8">
      <c r="A60" s="70" t="s">
        <v>116</v>
      </c>
      <c r="B60" s="70"/>
      <c r="C60" s="70"/>
      <c r="D60" s="70"/>
      <c r="E60" s="70"/>
      <c r="F60" s="70"/>
      <c r="G60" s="70">
        <v>1.93</v>
      </c>
      <c r="H60" s="70"/>
    </row>
    <row r="61" spans="1:8">
      <c r="A61" s="70" t="s">
        <v>117</v>
      </c>
      <c r="B61" s="70"/>
      <c r="C61" s="70"/>
      <c r="D61" s="70"/>
      <c r="E61" s="70"/>
      <c r="F61" s="70"/>
      <c r="G61" s="70">
        <v>366.12</v>
      </c>
      <c r="H61" s="70"/>
    </row>
    <row r="62" spans="1:8">
      <c r="A62" s="70" t="s">
        <v>118</v>
      </c>
      <c r="B62" s="70"/>
      <c r="C62" s="70"/>
      <c r="D62" s="70"/>
      <c r="E62" s="70"/>
      <c r="F62" s="70"/>
      <c r="G62" s="70">
        <v>21.97</v>
      </c>
      <c r="H62" s="70"/>
    </row>
    <row r="63" spans="1:8">
      <c r="A63" s="70" t="s">
        <v>119</v>
      </c>
      <c r="B63" s="70"/>
      <c r="C63" s="70"/>
      <c r="D63" s="70"/>
      <c r="E63" s="70"/>
      <c r="F63" s="70"/>
      <c r="G63" s="70">
        <v>366.12</v>
      </c>
      <c r="H63" s="70"/>
    </row>
    <row r="64" spans="1:8">
      <c r="A64" s="70" t="s">
        <v>120</v>
      </c>
      <c r="B64" s="70"/>
      <c r="C64" s="70"/>
      <c r="D64" s="70"/>
      <c r="E64" s="70"/>
      <c r="F64" s="70"/>
      <c r="G64" s="70">
        <v>21.97</v>
      </c>
      <c r="H64" s="70"/>
    </row>
    <row r="65" spans="1:8">
      <c r="A65" s="70" t="s">
        <v>0</v>
      </c>
      <c r="B65" s="70" t="s">
        <v>24</v>
      </c>
      <c r="C65" s="70" t="s">
        <v>1</v>
      </c>
      <c r="D65" s="70"/>
      <c r="E65" s="70"/>
      <c r="F65" s="70" t="s">
        <v>2</v>
      </c>
      <c r="G65" s="70" t="s">
        <v>3</v>
      </c>
      <c r="H65" s="70" t="s">
        <v>30</v>
      </c>
    </row>
    <row r="66" ht="27" spans="1:8">
      <c r="A66" s="70"/>
      <c r="B66" s="70"/>
      <c r="C66" s="70" t="s">
        <v>8</v>
      </c>
      <c r="D66" s="70" t="s">
        <v>9</v>
      </c>
      <c r="E66" s="70" t="s">
        <v>10</v>
      </c>
      <c r="F66" s="70"/>
      <c r="G66" s="70"/>
      <c r="H66" s="70"/>
    </row>
    <row r="67" spans="1:8">
      <c r="A67" s="70" t="s">
        <v>11</v>
      </c>
      <c r="B67" s="70" t="s">
        <v>32</v>
      </c>
      <c r="C67" s="70">
        <v>16</v>
      </c>
      <c r="D67" s="70">
        <v>4500</v>
      </c>
      <c r="E67" s="70">
        <v>85160</v>
      </c>
      <c r="F67" s="70">
        <v>1</v>
      </c>
      <c r="G67" s="70">
        <v>48132.43</v>
      </c>
      <c r="H67" s="70" t="s">
        <v>124</v>
      </c>
    </row>
    <row r="68" ht="27" spans="1:8">
      <c r="A68" s="70" t="s">
        <v>12</v>
      </c>
      <c r="B68" s="70" t="s">
        <v>32</v>
      </c>
      <c r="C68" s="70" t="s">
        <v>13</v>
      </c>
      <c r="D68" s="70"/>
      <c r="E68" s="70">
        <v>85160</v>
      </c>
      <c r="F68" s="70">
        <v>2</v>
      </c>
      <c r="G68" s="70">
        <v>40217.32</v>
      </c>
      <c r="H68" s="70"/>
    </row>
    <row r="69" spans="1:8">
      <c r="A69" s="70" t="s">
        <v>15</v>
      </c>
      <c r="B69" s="70" t="s">
        <v>32</v>
      </c>
      <c r="C69" s="70">
        <v>12</v>
      </c>
      <c r="D69" s="70">
        <v>308</v>
      </c>
      <c r="E69" s="70">
        <v>568</v>
      </c>
      <c r="F69" s="74">
        <v>90</v>
      </c>
      <c r="G69" s="70">
        <v>1483.18</v>
      </c>
      <c r="H69" s="70"/>
    </row>
    <row r="70" spans="1:8">
      <c r="A70" s="70" t="s">
        <v>16</v>
      </c>
      <c r="B70" s="70" t="s">
        <v>32</v>
      </c>
      <c r="C70" s="70">
        <v>12</v>
      </c>
      <c r="D70" s="70">
        <v>324</v>
      </c>
      <c r="E70" s="70">
        <v>2500</v>
      </c>
      <c r="F70" s="74">
        <v>45</v>
      </c>
      <c r="G70" s="70">
        <v>3433.59</v>
      </c>
      <c r="H70" s="70"/>
    </row>
    <row r="71" spans="1:8">
      <c r="A71" s="70" t="s">
        <v>17</v>
      </c>
      <c r="B71" s="70" t="s">
        <v>32</v>
      </c>
      <c r="C71" s="70">
        <v>12</v>
      </c>
      <c r="D71" s="70">
        <v>324</v>
      </c>
      <c r="E71" s="70">
        <v>400</v>
      </c>
      <c r="F71" s="74">
        <v>90</v>
      </c>
      <c r="G71" s="70">
        <v>1098.75</v>
      </c>
      <c r="H71" s="70"/>
    </row>
    <row r="72" spans="1:8">
      <c r="A72" s="70" t="s">
        <v>18</v>
      </c>
      <c r="B72" s="70" t="s">
        <v>32</v>
      </c>
      <c r="C72" s="70">
        <v>16</v>
      </c>
      <c r="D72" s="70">
        <v>2500</v>
      </c>
      <c r="E72" s="70">
        <v>85160</v>
      </c>
      <c r="F72" s="70">
        <v>1</v>
      </c>
      <c r="G72" s="70">
        <v>26740.24</v>
      </c>
      <c r="H72" s="70"/>
    </row>
    <row r="73" spans="1:8">
      <c r="A73" s="70" t="s">
        <v>19</v>
      </c>
      <c r="B73" s="70" t="s">
        <v>32</v>
      </c>
      <c r="C73" s="70">
        <v>16</v>
      </c>
      <c r="D73" s="70">
        <v>482</v>
      </c>
      <c r="E73" s="70">
        <v>85160</v>
      </c>
      <c r="F73" s="70">
        <v>2</v>
      </c>
      <c r="G73" s="70">
        <v>10311.04</v>
      </c>
      <c r="H73" s="70"/>
    </row>
    <row r="74" spans="1:8">
      <c r="A74" s="70" t="s">
        <v>114</v>
      </c>
      <c r="B74" s="70"/>
      <c r="C74" s="70"/>
      <c r="D74" s="70"/>
      <c r="E74" s="70"/>
      <c r="F74" s="70"/>
      <c r="G74" s="70">
        <v>1.97</v>
      </c>
      <c r="H74" s="70"/>
    </row>
    <row r="75" spans="1:8">
      <c r="A75" s="70" t="s">
        <v>115</v>
      </c>
      <c r="B75" s="70"/>
      <c r="C75" s="70"/>
      <c r="D75" s="70"/>
      <c r="E75" s="70"/>
      <c r="F75" s="70"/>
      <c r="G75" s="70">
        <v>133.39</v>
      </c>
      <c r="H75" s="70"/>
    </row>
    <row r="76" spans="1:8">
      <c r="A76" s="70" t="s">
        <v>116</v>
      </c>
      <c r="B76" s="70"/>
      <c r="C76" s="70"/>
      <c r="D76" s="70"/>
      <c r="E76" s="70"/>
      <c r="F76" s="70"/>
      <c r="G76" s="70">
        <v>2.02</v>
      </c>
      <c r="H76" s="70"/>
    </row>
    <row r="77" spans="1:8">
      <c r="A77" s="70" t="s">
        <v>117</v>
      </c>
      <c r="B77" s="70"/>
      <c r="C77" s="70"/>
      <c r="D77" s="70"/>
      <c r="E77" s="70"/>
      <c r="F77" s="70"/>
      <c r="G77" s="70">
        <v>383.22</v>
      </c>
      <c r="H77" s="70"/>
    </row>
    <row r="78" spans="1:8">
      <c r="A78" s="70" t="s">
        <v>118</v>
      </c>
      <c r="B78" s="70"/>
      <c r="C78" s="70"/>
      <c r="D78" s="70"/>
      <c r="E78" s="70"/>
      <c r="F78" s="70"/>
      <c r="G78" s="70">
        <v>22.99</v>
      </c>
      <c r="H78" s="70"/>
    </row>
    <row r="79" spans="1:8">
      <c r="A79" s="70" t="s">
        <v>119</v>
      </c>
      <c r="B79" s="70"/>
      <c r="C79" s="70"/>
      <c r="D79" s="70"/>
      <c r="E79" s="70"/>
      <c r="F79" s="70"/>
      <c r="G79" s="70">
        <v>383.22</v>
      </c>
      <c r="H79" s="70"/>
    </row>
    <row r="80" spans="1:8">
      <c r="A80" s="70" t="s">
        <v>120</v>
      </c>
      <c r="B80" s="70"/>
      <c r="C80" s="70"/>
      <c r="D80" s="70"/>
      <c r="E80" s="70"/>
      <c r="F80" s="70"/>
      <c r="G80" s="70">
        <v>22.99</v>
      </c>
      <c r="H80" s="70"/>
    </row>
    <row r="81" spans="1:8">
      <c r="A81" s="70" t="s">
        <v>0</v>
      </c>
      <c r="B81" s="70" t="s">
        <v>24</v>
      </c>
      <c r="C81" s="70" t="s">
        <v>1</v>
      </c>
      <c r="D81" s="70"/>
      <c r="E81" s="70"/>
      <c r="F81" s="70" t="s">
        <v>2</v>
      </c>
      <c r="G81" s="70" t="s">
        <v>3</v>
      </c>
      <c r="H81" s="70" t="s">
        <v>30</v>
      </c>
    </row>
    <row r="82" ht="27" spans="1:8">
      <c r="A82" s="70"/>
      <c r="B82" s="70"/>
      <c r="C82" s="70" t="s">
        <v>8</v>
      </c>
      <c r="D82" s="70" t="s">
        <v>9</v>
      </c>
      <c r="E82" s="70" t="s">
        <v>10</v>
      </c>
      <c r="F82" s="70"/>
      <c r="G82" s="70"/>
      <c r="H82" s="70"/>
    </row>
    <row r="83" spans="1:8">
      <c r="A83" s="70" t="s">
        <v>11</v>
      </c>
      <c r="B83" s="70" t="s">
        <v>32</v>
      </c>
      <c r="C83" s="70">
        <v>16</v>
      </c>
      <c r="D83" s="70">
        <v>4500</v>
      </c>
      <c r="E83" s="70">
        <v>97960</v>
      </c>
      <c r="F83" s="70">
        <v>1</v>
      </c>
      <c r="G83" s="70">
        <v>55366.99</v>
      </c>
      <c r="H83" s="70" t="s">
        <v>125</v>
      </c>
    </row>
    <row r="84" ht="27" spans="1:8">
      <c r="A84" s="70" t="s">
        <v>12</v>
      </c>
      <c r="B84" s="70" t="s">
        <v>32</v>
      </c>
      <c r="C84" s="70" t="s">
        <v>13</v>
      </c>
      <c r="D84" s="70"/>
      <c r="E84" s="70">
        <v>97960</v>
      </c>
      <c r="F84" s="70">
        <v>2</v>
      </c>
      <c r="G84" s="70">
        <v>46262.2</v>
      </c>
      <c r="H84" s="70"/>
    </row>
    <row r="85" spans="1:8">
      <c r="A85" s="70" t="s">
        <v>15</v>
      </c>
      <c r="B85" s="70" t="s">
        <v>32</v>
      </c>
      <c r="C85" s="70">
        <v>12</v>
      </c>
      <c r="D85" s="70">
        <v>308</v>
      </c>
      <c r="E85" s="70">
        <v>568</v>
      </c>
      <c r="F85" s="74">
        <v>102</v>
      </c>
      <c r="G85" s="70">
        <v>1680.93</v>
      </c>
      <c r="H85" s="70"/>
    </row>
    <row r="86" spans="1:8">
      <c r="A86" s="70" t="s">
        <v>16</v>
      </c>
      <c r="B86" s="70" t="s">
        <v>32</v>
      </c>
      <c r="C86" s="70">
        <v>12</v>
      </c>
      <c r="D86" s="70">
        <v>324</v>
      </c>
      <c r="E86" s="70">
        <v>2500</v>
      </c>
      <c r="F86" s="74">
        <v>51</v>
      </c>
      <c r="G86" s="70">
        <v>3891.4</v>
      </c>
      <c r="H86" s="70"/>
    </row>
    <row r="87" spans="1:8">
      <c r="A87" s="70" t="s">
        <v>17</v>
      </c>
      <c r="B87" s="70" t="s">
        <v>32</v>
      </c>
      <c r="C87" s="70">
        <v>12</v>
      </c>
      <c r="D87" s="70">
        <v>324</v>
      </c>
      <c r="E87" s="70">
        <v>400</v>
      </c>
      <c r="F87" s="74">
        <v>102</v>
      </c>
      <c r="G87" s="70">
        <v>1245.25</v>
      </c>
      <c r="H87" s="70"/>
    </row>
    <row r="88" spans="1:8">
      <c r="A88" s="70" t="s">
        <v>18</v>
      </c>
      <c r="B88" s="70" t="s">
        <v>32</v>
      </c>
      <c r="C88" s="70">
        <v>16</v>
      </c>
      <c r="D88" s="70">
        <v>2500</v>
      </c>
      <c r="E88" s="70">
        <v>97960</v>
      </c>
      <c r="F88" s="70">
        <v>1</v>
      </c>
      <c r="G88" s="70">
        <v>30759.44</v>
      </c>
      <c r="H88" s="70"/>
    </row>
    <row r="89" spans="1:8">
      <c r="A89" s="70" t="s">
        <v>19</v>
      </c>
      <c r="B89" s="70" t="s">
        <v>32</v>
      </c>
      <c r="C89" s="70">
        <v>16</v>
      </c>
      <c r="D89" s="70">
        <v>482</v>
      </c>
      <c r="E89" s="70">
        <v>97960</v>
      </c>
      <c r="F89" s="70">
        <v>2</v>
      </c>
      <c r="G89" s="70">
        <v>11860.84</v>
      </c>
      <c r="H89" s="70"/>
    </row>
    <row r="90" spans="1:8">
      <c r="A90" s="70" t="s">
        <v>114</v>
      </c>
      <c r="B90" s="70"/>
      <c r="C90" s="70"/>
      <c r="D90" s="70"/>
      <c r="E90" s="70"/>
      <c r="F90" s="70"/>
      <c r="G90" s="70">
        <v>2.27</v>
      </c>
      <c r="H90" s="70"/>
    </row>
    <row r="91" spans="1:8">
      <c r="A91" s="70" t="s">
        <v>115</v>
      </c>
      <c r="B91" s="70"/>
      <c r="C91" s="70"/>
      <c r="D91" s="70"/>
      <c r="E91" s="70"/>
      <c r="F91" s="70"/>
      <c r="G91" s="70">
        <v>153.33</v>
      </c>
      <c r="H91" s="70"/>
    </row>
    <row r="92" spans="1:8">
      <c r="A92" s="70" t="s">
        <v>116</v>
      </c>
      <c r="B92" s="70"/>
      <c r="C92" s="70"/>
      <c r="D92" s="70"/>
      <c r="E92" s="70"/>
      <c r="F92" s="70"/>
      <c r="G92" s="70">
        <v>2.32</v>
      </c>
      <c r="H92" s="70"/>
    </row>
    <row r="93" spans="1:8">
      <c r="A93" s="70" t="s">
        <v>117</v>
      </c>
      <c r="B93" s="70"/>
      <c r="C93" s="70"/>
      <c r="D93" s="70"/>
      <c r="E93" s="70"/>
      <c r="F93" s="70"/>
      <c r="G93" s="70">
        <v>440.82</v>
      </c>
      <c r="H93" s="70"/>
    </row>
    <row r="94" spans="1:8">
      <c r="A94" s="70" t="s">
        <v>118</v>
      </c>
      <c r="B94" s="70"/>
      <c r="C94" s="70"/>
      <c r="D94" s="70"/>
      <c r="E94" s="70"/>
      <c r="F94" s="70"/>
      <c r="G94" s="70">
        <v>26.45</v>
      </c>
      <c r="H94" s="70"/>
    </row>
    <row r="95" spans="1:8">
      <c r="A95" s="70" t="s">
        <v>119</v>
      </c>
      <c r="B95" s="70"/>
      <c r="C95" s="70"/>
      <c r="D95" s="70"/>
      <c r="E95" s="70"/>
      <c r="F95" s="70"/>
      <c r="G95" s="70">
        <v>440.82</v>
      </c>
      <c r="H95" s="70"/>
    </row>
    <row r="96" spans="1:8">
      <c r="A96" s="70" t="s">
        <v>120</v>
      </c>
      <c r="B96" s="70"/>
      <c r="C96" s="70"/>
      <c r="D96" s="70"/>
      <c r="E96" s="70"/>
      <c r="F96" s="70"/>
      <c r="G96" s="70">
        <v>26.45</v>
      </c>
      <c r="H96" s="70"/>
    </row>
    <row r="97" spans="1:8">
      <c r="A97" s="70" t="s">
        <v>0</v>
      </c>
      <c r="B97" s="70" t="s">
        <v>24</v>
      </c>
      <c r="C97" s="70" t="s">
        <v>1</v>
      </c>
      <c r="D97" s="70"/>
      <c r="E97" s="70"/>
      <c r="F97" s="70" t="s">
        <v>2</v>
      </c>
      <c r="G97" s="70" t="s">
        <v>3</v>
      </c>
      <c r="H97" s="70" t="s">
        <v>30</v>
      </c>
    </row>
    <row r="98" ht="27" spans="1:8">
      <c r="A98" s="70"/>
      <c r="B98" s="70"/>
      <c r="C98" s="70" t="s">
        <v>8</v>
      </c>
      <c r="D98" s="70" t="s">
        <v>9</v>
      </c>
      <c r="E98" s="70" t="s">
        <v>10</v>
      </c>
      <c r="F98" s="70"/>
      <c r="G98" s="70"/>
      <c r="H98" s="70"/>
    </row>
    <row r="99" spans="1:8">
      <c r="A99" s="70" t="s">
        <v>11</v>
      </c>
      <c r="B99" s="70" t="s">
        <v>32</v>
      </c>
      <c r="C99" s="70">
        <v>16</v>
      </c>
      <c r="D99" s="70">
        <v>4500</v>
      </c>
      <c r="E99" s="70">
        <v>89960</v>
      </c>
      <c r="F99" s="70">
        <v>1</v>
      </c>
      <c r="G99" s="70">
        <v>50845.39</v>
      </c>
      <c r="H99" s="70" t="s">
        <v>126</v>
      </c>
    </row>
    <row r="100" ht="27" spans="1:8">
      <c r="A100" s="70" t="s">
        <v>12</v>
      </c>
      <c r="B100" s="70" t="s">
        <v>32</v>
      </c>
      <c r="C100" s="70" t="s">
        <v>13</v>
      </c>
      <c r="D100" s="70"/>
      <c r="E100" s="70">
        <v>89960</v>
      </c>
      <c r="F100" s="70">
        <v>2</v>
      </c>
      <c r="G100" s="70">
        <v>42484.15</v>
      </c>
      <c r="H100" s="70"/>
    </row>
    <row r="101" spans="1:8">
      <c r="A101" s="70" t="s">
        <v>15</v>
      </c>
      <c r="B101" s="70" t="s">
        <v>32</v>
      </c>
      <c r="C101" s="70">
        <v>12</v>
      </c>
      <c r="D101" s="70">
        <v>308</v>
      </c>
      <c r="E101" s="70">
        <v>568</v>
      </c>
      <c r="F101" s="74">
        <v>94</v>
      </c>
      <c r="G101" s="70">
        <v>1549.09</v>
      </c>
      <c r="H101" s="70"/>
    </row>
    <row r="102" spans="1:8">
      <c r="A102" s="70" t="s">
        <v>16</v>
      </c>
      <c r="B102" s="70" t="s">
        <v>32</v>
      </c>
      <c r="C102" s="70">
        <v>12</v>
      </c>
      <c r="D102" s="70">
        <v>324</v>
      </c>
      <c r="E102" s="70">
        <v>2500</v>
      </c>
      <c r="F102" s="74">
        <v>47</v>
      </c>
      <c r="G102" s="70">
        <v>3586.19</v>
      </c>
      <c r="H102" s="70"/>
    </row>
    <row r="103" spans="1:8">
      <c r="A103" s="70" t="s">
        <v>17</v>
      </c>
      <c r="B103" s="70" t="s">
        <v>32</v>
      </c>
      <c r="C103" s="70">
        <v>12</v>
      </c>
      <c r="D103" s="70">
        <v>324</v>
      </c>
      <c r="E103" s="70">
        <v>400</v>
      </c>
      <c r="F103" s="74">
        <v>94</v>
      </c>
      <c r="G103" s="70">
        <v>1147.58</v>
      </c>
      <c r="H103" s="70"/>
    </row>
    <row r="104" spans="1:8">
      <c r="A104" s="70" t="s">
        <v>18</v>
      </c>
      <c r="B104" s="70" t="s">
        <v>32</v>
      </c>
      <c r="C104" s="70">
        <v>16</v>
      </c>
      <c r="D104" s="70">
        <v>2500</v>
      </c>
      <c r="E104" s="70">
        <v>89960</v>
      </c>
      <c r="F104" s="70">
        <v>1</v>
      </c>
      <c r="G104" s="70">
        <v>28247.44</v>
      </c>
      <c r="H104" s="70"/>
    </row>
    <row r="105" spans="1:8">
      <c r="A105" s="70" t="s">
        <v>19</v>
      </c>
      <c r="B105" s="70" t="s">
        <v>32</v>
      </c>
      <c r="C105" s="70">
        <v>16</v>
      </c>
      <c r="D105" s="70">
        <v>482</v>
      </c>
      <c r="E105" s="70">
        <v>89960</v>
      </c>
      <c r="F105" s="70">
        <v>2</v>
      </c>
      <c r="G105" s="70">
        <v>10892.21</v>
      </c>
      <c r="H105" s="70"/>
    </row>
    <row r="106" spans="1:8">
      <c r="A106" s="70" t="s">
        <v>114</v>
      </c>
      <c r="B106" s="70"/>
      <c r="C106" s="70"/>
      <c r="D106" s="70"/>
      <c r="E106" s="70"/>
      <c r="F106" s="70"/>
      <c r="G106" s="70">
        <v>2.08</v>
      </c>
      <c r="H106" s="70"/>
    </row>
    <row r="107" spans="1:8">
      <c r="A107" s="70" t="s">
        <v>115</v>
      </c>
      <c r="B107" s="70"/>
      <c r="C107" s="70"/>
      <c r="D107" s="70"/>
      <c r="E107" s="70"/>
      <c r="F107" s="70"/>
      <c r="G107" s="70">
        <v>140.83</v>
      </c>
      <c r="H107" s="70"/>
    </row>
    <row r="108" spans="1:8">
      <c r="A108" s="70" t="s">
        <v>116</v>
      </c>
      <c r="B108" s="70"/>
      <c r="C108" s="70"/>
      <c r="D108" s="70"/>
      <c r="E108" s="70"/>
      <c r="F108" s="70"/>
      <c r="G108" s="70">
        <v>2.13</v>
      </c>
      <c r="H108" s="70"/>
    </row>
    <row r="109" spans="1:8">
      <c r="A109" s="70" t="s">
        <v>117</v>
      </c>
      <c r="B109" s="70"/>
      <c r="C109" s="70"/>
      <c r="D109" s="70"/>
      <c r="E109" s="70"/>
      <c r="F109" s="70"/>
      <c r="G109" s="70">
        <v>404.82</v>
      </c>
      <c r="H109" s="70"/>
    </row>
    <row r="110" spans="1:8">
      <c r="A110" s="70" t="s">
        <v>118</v>
      </c>
      <c r="B110" s="70"/>
      <c r="C110" s="70"/>
      <c r="D110" s="70"/>
      <c r="E110" s="70"/>
      <c r="F110" s="70"/>
      <c r="G110" s="70">
        <v>24.29</v>
      </c>
      <c r="H110" s="70"/>
    </row>
    <row r="111" spans="1:8">
      <c r="A111" s="70" t="s">
        <v>119</v>
      </c>
      <c r="B111" s="70"/>
      <c r="C111" s="70"/>
      <c r="D111" s="70"/>
      <c r="E111" s="70"/>
      <c r="F111" s="70"/>
      <c r="G111" s="70">
        <v>404.82</v>
      </c>
      <c r="H111" s="70"/>
    </row>
    <row r="112" spans="1:8">
      <c r="A112" s="70" t="s">
        <v>120</v>
      </c>
      <c r="B112" s="70"/>
      <c r="C112" s="70"/>
      <c r="D112" s="70"/>
      <c r="E112" s="70"/>
      <c r="F112" s="70"/>
      <c r="G112" s="70">
        <v>24.29</v>
      </c>
      <c r="H112" s="70"/>
    </row>
    <row r="113" spans="1:8">
      <c r="A113" s="70" t="s">
        <v>0</v>
      </c>
      <c r="B113" s="70" t="s">
        <v>24</v>
      </c>
      <c r="C113" s="70" t="s">
        <v>1</v>
      </c>
      <c r="D113" s="70"/>
      <c r="E113" s="70"/>
      <c r="F113" s="70" t="s">
        <v>2</v>
      </c>
      <c r="G113" s="70" t="s">
        <v>3</v>
      </c>
      <c r="H113" s="70" t="s">
        <v>30</v>
      </c>
    </row>
    <row r="114" ht="27" spans="1:8">
      <c r="A114" s="70"/>
      <c r="B114" s="70"/>
      <c r="C114" s="70" t="s">
        <v>8</v>
      </c>
      <c r="D114" s="70" t="s">
        <v>9</v>
      </c>
      <c r="E114" s="70" t="s">
        <v>10</v>
      </c>
      <c r="F114" s="70"/>
      <c r="G114" s="70"/>
      <c r="H114" s="70"/>
    </row>
    <row r="115" spans="1:8">
      <c r="A115" s="70" t="s">
        <v>11</v>
      </c>
      <c r="B115" s="70" t="s">
        <v>32</v>
      </c>
      <c r="C115" s="70">
        <v>16</v>
      </c>
      <c r="D115" s="70">
        <v>4500</v>
      </c>
      <c r="E115" s="70">
        <v>97960</v>
      </c>
      <c r="F115" s="70">
        <v>1</v>
      </c>
      <c r="G115" s="70">
        <v>55366.99</v>
      </c>
      <c r="H115" s="70" t="s">
        <v>127</v>
      </c>
    </row>
    <row r="116" ht="27" spans="1:8">
      <c r="A116" s="70" t="s">
        <v>12</v>
      </c>
      <c r="B116" s="70" t="s">
        <v>32</v>
      </c>
      <c r="C116" s="70" t="s">
        <v>13</v>
      </c>
      <c r="D116" s="70"/>
      <c r="E116" s="70">
        <v>97960</v>
      </c>
      <c r="F116" s="70">
        <v>2</v>
      </c>
      <c r="G116" s="70">
        <v>46262.2</v>
      </c>
      <c r="H116" s="70"/>
    </row>
    <row r="117" spans="1:8">
      <c r="A117" s="70" t="s">
        <v>15</v>
      </c>
      <c r="B117" s="70" t="s">
        <v>32</v>
      </c>
      <c r="C117" s="70">
        <v>12</v>
      </c>
      <c r="D117" s="70">
        <v>308</v>
      </c>
      <c r="E117" s="70">
        <v>568</v>
      </c>
      <c r="F117" s="74">
        <v>102</v>
      </c>
      <c r="G117" s="70">
        <v>1680.93</v>
      </c>
      <c r="H117" s="70"/>
    </row>
    <row r="118" spans="1:8">
      <c r="A118" s="70" t="s">
        <v>16</v>
      </c>
      <c r="B118" s="70" t="s">
        <v>32</v>
      </c>
      <c r="C118" s="70">
        <v>12</v>
      </c>
      <c r="D118" s="70">
        <v>324</v>
      </c>
      <c r="E118" s="70">
        <v>2500</v>
      </c>
      <c r="F118" s="74">
        <v>51</v>
      </c>
      <c r="G118" s="70">
        <v>3891.4</v>
      </c>
      <c r="H118" s="70"/>
    </row>
    <row r="119" spans="1:8">
      <c r="A119" s="70" t="s">
        <v>17</v>
      </c>
      <c r="B119" s="70" t="s">
        <v>32</v>
      </c>
      <c r="C119" s="70">
        <v>12</v>
      </c>
      <c r="D119" s="70">
        <v>324</v>
      </c>
      <c r="E119" s="70">
        <v>400</v>
      </c>
      <c r="F119" s="74">
        <v>102</v>
      </c>
      <c r="G119" s="70">
        <v>1245.25</v>
      </c>
      <c r="H119" s="70"/>
    </row>
    <row r="120" spans="1:8">
      <c r="A120" s="70" t="s">
        <v>18</v>
      </c>
      <c r="B120" s="70" t="s">
        <v>32</v>
      </c>
      <c r="C120" s="70">
        <v>16</v>
      </c>
      <c r="D120" s="70">
        <v>2500</v>
      </c>
      <c r="E120" s="70">
        <v>97960</v>
      </c>
      <c r="F120" s="70">
        <v>1</v>
      </c>
      <c r="G120" s="70">
        <v>30759.44</v>
      </c>
      <c r="H120" s="70"/>
    </row>
    <row r="121" spans="1:8">
      <c r="A121" s="70" t="s">
        <v>19</v>
      </c>
      <c r="B121" s="70" t="s">
        <v>32</v>
      </c>
      <c r="C121" s="70">
        <v>16</v>
      </c>
      <c r="D121" s="70">
        <v>482</v>
      </c>
      <c r="E121" s="70">
        <v>97960</v>
      </c>
      <c r="F121" s="70">
        <v>2</v>
      </c>
      <c r="G121" s="70">
        <v>11860.84</v>
      </c>
      <c r="H121" s="70"/>
    </row>
    <row r="122" spans="1:8">
      <c r="A122" s="70" t="s">
        <v>114</v>
      </c>
      <c r="B122" s="70"/>
      <c r="C122" s="70"/>
      <c r="D122" s="70"/>
      <c r="E122" s="70"/>
      <c r="F122" s="70"/>
      <c r="G122" s="70">
        <v>2.27</v>
      </c>
      <c r="H122" s="70"/>
    </row>
    <row r="123" spans="1:8">
      <c r="A123" s="70" t="s">
        <v>115</v>
      </c>
      <c r="B123" s="70"/>
      <c r="C123" s="70"/>
      <c r="D123" s="70"/>
      <c r="E123" s="70"/>
      <c r="F123" s="70"/>
      <c r="G123" s="70">
        <v>153.33</v>
      </c>
      <c r="H123" s="70"/>
    </row>
    <row r="124" spans="1:8">
      <c r="A124" s="70" t="s">
        <v>116</v>
      </c>
      <c r="B124" s="70"/>
      <c r="C124" s="70"/>
      <c r="D124" s="70"/>
      <c r="E124" s="70"/>
      <c r="F124" s="70"/>
      <c r="G124" s="70">
        <v>2.32</v>
      </c>
      <c r="H124" s="70"/>
    </row>
    <row r="125" spans="1:8">
      <c r="A125" s="70" t="s">
        <v>117</v>
      </c>
      <c r="B125" s="70"/>
      <c r="C125" s="70"/>
      <c r="D125" s="70"/>
      <c r="E125" s="70"/>
      <c r="F125" s="70"/>
      <c r="G125" s="70">
        <v>440.82</v>
      </c>
      <c r="H125" s="70"/>
    </row>
    <row r="126" spans="1:8">
      <c r="A126" s="70" t="s">
        <v>118</v>
      </c>
      <c r="B126" s="70"/>
      <c r="C126" s="70"/>
      <c r="D126" s="70"/>
      <c r="E126" s="70"/>
      <c r="F126" s="70"/>
      <c r="G126" s="70">
        <v>26.45</v>
      </c>
      <c r="H126" s="70"/>
    </row>
    <row r="127" spans="1:8">
      <c r="A127" s="70" t="s">
        <v>119</v>
      </c>
      <c r="B127" s="70"/>
      <c r="C127" s="70"/>
      <c r="D127" s="70"/>
      <c r="E127" s="70"/>
      <c r="F127" s="70"/>
      <c r="G127" s="70">
        <v>440.82</v>
      </c>
      <c r="H127" s="70"/>
    </row>
    <row r="128" spans="1:8">
      <c r="A128" s="70" t="s">
        <v>120</v>
      </c>
      <c r="B128" s="70"/>
      <c r="C128" s="70"/>
      <c r="D128" s="70"/>
      <c r="E128" s="70"/>
      <c r="F128" s="70"/>
      <c r="G128" s="70">
        <v>26.45</v>
      </c>
      <c r="H128" s="70"/>
    </row>
    <row r="129" spans="1:8">
      <c r="A129" s="70" t="s">
        <v>0</v>
      </c>
      <c r="B129" s="70" t="s">
        <v>24</v>
      </c>
      <c r="C129" s="70" t="s">
        <v>1</v>
      </c>
      <c r="D129" s="70"/>
      <c r="E129" s="70"/>
      <c r="F129" s="70" t="s">
        <v>3</v>
      </c>
      <c r="G129" s="70" t="s">
        <v>128</v>
      </c>
      <c r="H129" s="70" t="s">
        <v>30</v>
      </c>
    </row>
    <row r="130" spans="1:8">
      <c r="A130" s="70"/>
      <c r="B130" s="70"/>
      <c r="C130" s="70" t="s">
        <v>129</v>
      </c>
      <c r="D130" s="70" t="s">
        <v>130</v>
      </c>
      <c r="E130" s="70" t="s">
        <v>131</v>
      </c>
      <c r="F130" s="70"/>
      <c r="G130" s="70"/>
      <c r="H130" s="70"/>
    </row>
    <row r="131" ht="27" spans="1:8">
      <c r="A131" s="70" t="s">
        <v>132</v>
      </c>
      <c r="B131" s="70" t="s">
        <v>32</v>
      </c>
      <c r="C131" s="70" t="s">
        <v>133</v>
      </c>
      <c r="D131" s="70" t="s">
        <v>134</v>
      </c>
      <c r="E131" s="70" t="s">
        <v>135</v>
      </c>
      <c r="F131" s="70">
        <v>5</v>
      </c>
      <c r="G131" s="70">
        <v>100.48</v>
      </c>
      <c r="H131" s="70" t="s">
        <v>136</v>
      </c>
    </row>
    <row r="132" spans="1:8">
      <c r="A132" s="70" t="s">
        <v>137</v>
      </c>
      <c r="B132" s="70" t="s">
        <v>32</v>
      </c>
      <c r="C132" s="70">
        <v>12</v>
      </c>
      <c r="D132" s="70">
        <v>178</v>
      </c>
      <c r="E132" s="70">
        <v>400</v>
      </c>
      <c r="F132" s="70">
        <v>5</v>
      </c>
      <c r="G132" s="70">
        <v>33.54</v>
      </c>
      <c r="H132" s="70"/>
    </row>
    <row r="133" ht="27" spans="1:8">
      <c r="A133" s="70" t="s">
        <v>138</v>
      </c>
      <c r="B133" s="70" t="s">
        <v>32</v>
      </c>
      <c r="C133" s="70">
        <v>12</v>
      </c>
      <c r="D133" s="70">
        <v>381</v>
      </c>
      <c r="E133" s="70">
        <v>340</v>
      </c>
      <c r="F133" s="70">
        <v>10</v>
      </c>
      <c r="G133" s="70">
        <v>122.03</v>
      </c>
      <c r="H133" s="70"/>
    </row>
    <row r="134" spans="1:8">
      <c r="A134" s="70" t="s">
        <v>139</v>
      </c>
      <c r="B134" s="70"/>
      <c r="C134" s="70"/>
      <c r="D134" s="70"/>
      <c r="E134" s="70"/>
      <c r="F134" s="70"/>
      <c r="G134" s="70">
        <v>3.84</v>
      </c>
      <c r="H134" s="70"/>
    </row>
    <row r="135" spans="1:8">
      <c r="A135" s="70" t="s">
        <v>140</v>
      </c>
      <c r="B135" s="70"/>
      <c r="C135" s="70"/>
      <c r="D135" s="70"/>
      <c r="E135" s="70"/>
      <c r="F135" s="70"/>
      <c r="G135" s="70">
        <v>259.88</v>
      </c>
      <c r="H135" s="70"/>
    </row>
    <row r="136" spans="1:8">
      <c r="A136" s="70" t="s">
        <v>0</v>
      </c>
      <c r="B136" s="70" t="s">
        <v>24</v>
      </c>
      <c r="C136" s="70" t="s">
        <v>1</v>
      </c>
      <c r="D136" s="70"/>
      <c r="E136" s="70"/>
      <c r="F136" s="70" t="s">
        <v>3</v>
      </c>
      <c r="G136" s="70" t="s">
        <v>128</v>
      </c>
      <c r="H136" s="70" t="s">
        <v>30</v>
      </c>
    </row>
    <row r="137" spans="1:8">
      <c r="A137" s="70"/>
      <c r="B137" s="70"/>
      <c r="C137" s="70" t="s">
        <v>129</v>
      </c>
      <c r="D137" s="70" t="s">
        <v>130</v>
      </c>
      <c r="E137" s="70" t="s">
        <v>131</v>
      </c>
      <c r="F137" s="70"/>
      <c r="G137" s="70"/>
      <c r="H137" s="70"/>
    </row>
    <row r="138" ht="27" spans="1:8">
      <c r="A138" s="70" t="s">
        <v>132</v>
      </c>
      <c r="B138" s="70" t="s">
        <v>32</v>
      </c>
      <c r="C138" s="70" t="s">
        <v>133</v>
      </c>
      <c r="D138" s="70" t="s">
        <v>134</v>
      </c>
      <c r="E138" s="70" t="s">
        <v>135</v>
      </c>
      <c r="F138" s="70">
        <v>5</v>
      </c>
      <c r="G138" s="70">
        <v>100.48</v>
      </c>
      <c r="H138" s="70" t="s">
        <v>141</v>
      </c>
    </row>
    <row r="139" spans="1:8">
      <c r="A139" s="70" t="s">
        <v>137</v>
      </c>
      <c r="B139" s="70" t="s">
        <v>32</v>
      </c>
      <c r="C139" s="70">
        <v>12</v>
      </c>
      <c r="D139" s="70">
        <v>178</v>
      </c>
      <c r="E139" s="70">
        <v>400</v>
      </c>
      <c r="F139" s="70">
        <v>5</v>
      </c>
      <c r="G139" s="70">
        <v>33.54</v>
      </c>
      <c r="H139" s="70"/>
    </row>
    <row r="140" ht="27" spans="1:8">
      <c r="A140" s="70" t="s">
        <v>138</v>
      </c>
      <c r="B140" s="70" t="s">
        <v>32</v>
      </c>
      <c r="C140" s="70">
        <v>12</v>
      </c>
      <c r="D140" s="70">
        <v>381</v>
      </c>
      <c r="E140" s="70">
        <v>340</v>
      </c>
      <c r="F140" s="70">
        <v>10</v>
      </c>
      <c r="G140" s="70">
        <v>122.03</v>
      </c>
      <c r="H140" s="70"/>
    </row>
    <row r="141" spans="1:8">
      <c r="A141" s="70" t="s">
        <v>139</v>
      </c>
      <c r="B141" s="70"/>
      <c r="C141" s="70"/>
      <c r="D141" s="70"/>
      <c r="E141" s="70"/>
      <c r="F141" s="70"/>
      <c r="G141" s="70">
        <v>3.84</v>
      </c>
      <c r="H141" s="70"/>
    </row>
    <row r="142" spans="1:8">
      <c r="A142" s="70" t="s">
        <v>140</v>
      </c>
      <c r="B142" s="70"/>
      <c r="C142" s="70"/>
      <c r="D142" s="70"/>
      <c r="E142" s="70"/>
      <c r="F142" s="70"/>
      <c r="G142" s="70">
        <v>259.88</v>
      </c>
      <c r="H142" s="70"/>
    </row>
    <row r="143" spans="1:8">
      <c r="A143" s="70" t="s">
        <v>0</v>
      </c>
      <c r="B143" s="70" t="s">
        <v>24</v>
      </c>
      <c r="C143" s="70" t="s">
        <v>1</v>
      </c>
      <c r="D143" s="70"/>
      <c r="E143" s="70"/>
      <c r="F143" s="70" t="s">
        <v>3</v>
      </c>
      <c r="G143" s="70" t="s">
        <v>128</v>
      </c>
      <c r="H143" s="70" t="s">
        <v>30</v>
      </c>
    </row>
    <row r="144" spans="1:8">
      <c r="A144" s="70"/>
      <c r="B144" s="70"/>
      <c r="C144" s="70" t="s">
        <v>129</v>
      </c>
      <c r="D144" s="70" t="s">
        <v>130</v>
      </c>
      <c r="E144" s="70" t="s">
        <v>131</v>
      </c>
      <c r="F144" s="70"/>
      <c r="G144" s="70"/>
      <c r="H144" s="70"/>
    </row>
    <row r="145" ht="27" spans="1:8">
      <c r="A145" s="70" t="s">
        <v>132</v>
      </c>
      <c r="B145" s="70" t="s">
        <v>32</v>
      </c>
      <c r="C145" s="70" t="s">
        <v>133</v>
      </c>
      <c r="D145" s="70" t="s">
        <v>134</v>
      </c>
      <c r="E145" s="70" t="s">
        <v>135</v>
      </c>
      <c r="F145" s="70">
        <v>5</v>
      </c>
      <c r="G145" s="70">
        <v>100.48</v>
      </c>
      <c r="H145" s="70" t="s">
        <v>142</v>
      </c>
    </row>
    <row r="146" spans="1:8">
      <c r="A146" s="70" t="s">
        <v>137</v>
      </c>
      <c r="B146" s="70" t="s">
        <v>32</v>
      </c>
      <c r="C146" s="70">
        <v>12</v>
      </c>
      <c r="D146" s="70">
        <v>178</v>
      </c>
      <c r="E146" s="70">
        <v>400</v>
      </c>
      <c r="F146" s="70">
        <v>5</v>
      </c>
      <c r="G146" s="70">
        <v>33.54</v>
      </c>
      <c r="H146" s="70"/>
    </row>
    <row r="147" ht="27" spans="1:8">
      <c r="A147" s="70" t="s">
        <v>138</v>
      </c>
      <c r="B147" s="70" t="s">
        <v>32</v>
      </c>
      <c r="C147" s="70">
        <v>12</v>
      </c>
      <c r="D147" s="70">
        <v>381</v>
      </c>
      <c r="E147" s="70">
        <v>340</v>
      </c>
      <c r="F147" s="70">
        <v>10</v>
      </c>
      <c r="G147" s="70">
        <v>122.03</v>
      </c>
      <c r="H147" s="70"/>
    </row>
    <row r="148" spans="1:8">
      <c r="A148" s="70" t="s">
        <v>139</v>
      </c>
      <c r="B148" s="70"/>
      <c r="C148" s="70"/>
      <c r="D148" s="70"/>
      <c r="E148" s="70"/>
      <c r="F148" s="70"/>
      <c r="G148" s="70">
        <v>3.84</v>
      </c>
      <c r="H148" s="70"/>
    </row>
    <row r="149" spans="1:8">
      <c r="A149" s="70" t="s">
        <v>140</v>
      </c>
      <c r="B149" s="70"/>
      <c r="C149" s="70"/>
      <c r="D149" s="70"/>
      <c r="E149" s="70"/>
      <c r="F149" s="70"/>
      <c r="G149" s="70">
        <v>259.88</v>
      </c>
      <c r="H149" s="70"/>
    </row>
    <row r="150" spans="1:8">
      <c r="A150" s="70" t="s">
        <v>0</v>
      </c>
      <c r="B150" s="70" t="s">
        <v>24</v>
      </c>
      <c r="C150" s="70" t="s">
        <v>1</v>
      </c>
      <c r="D150" s="70"/>
      <c r="E150" s="70"/>
      <c r="F150" s="70" t="s">
        <v>3</v>
      </c>
      <c r="G150" s="70" t="s">
        <v>128</v>
      </c>
      <c r="H150" s="70" t="s">
        <v>30</v>
      </c>
    </row>
    <row r="151" spans="1:8">
      <c r="A151" s="70"/>
      <c r="B151" s="70"/>
      <c r="C151" s="70" t="s">
        <v>129</v>
      </c>
      <c r="D151" s="70" t="s">
        <v>130</v>
      </c>
      <c r="E151" s="70" t="s">
        <v>131</v>
      </c>
      <c r="F151" s="70"/>
      <c r="G151" s="70"/>
      <c r="H151" s="70"/>
    </row>
    <row r="152" ht="27" spans="1:8">
      <c r="A152" s="70" t="s">
        <v>132</v>
      </c>
      <c r="B152" s="70" t="s">
        <v>32</v>
      </c>
      <c r="C152" s="70" t="s">
        <v>133</v>
      </c>
      <c r="D152" s="70" t="s">
        <v>134</v>
      </c>
      <c r="E152" s="70" t="s">
        <v>135</v>
      </c>
      <c r="F152" s="70">
        <v>5</v>
      </c>
      <c r="G152" s="70">
        <v>100.48</v>
      </c>
      <c r="H152" s="70" t="s">
        <v>143</v>
      </c>
    </row>
    <row r="153" spans="1:8">
      <c r="A153" s="70" t="s">
        <v>137</v>
      </c>
      <c r="B153" s="70" t="s">
        <v>32</v>
      </c>
      <c r="C153" s="70">
        <v>12</v>
      </c>
      <c r="D153" s="70">
        <v>178</v>
      </c>
      <c r="E153" s="70">
        <v>400</v>
      </c>
      <c r="F153" s="70">
        <v>5</v>
      </c>
      <c r="G153" s="70">
        <v>33.54</v>
      </c>
      <c r="H153" s="70"/>
    </row>
    <row r="154" ht="27" spans="1:8">
      <c r="A154" s="70" t="s">
        <v>138</v>
      </c>
      <c r="B154" s="70" t="s">
        <v>32</v>
      </c>
      <c r="C154" s="70">
        <v>12</v>
      </c>
      <c r="D154" s="70">
        <v>381</v>
      </c>
      <c r="E154" s="70">
        <v>340</v>
      </c>
      <c r="F154" s="70">
        <v>10</v>
      </c>
      <c r="G154" s="70">
        <v>122.03</v>
      </c>
      <c r="H154" s="70"/>
    </row>
    <row r="155" spans="1:8">
      <c r="A155" s="70" t="s">
        <v>139</v>
      </c>
      <c r="B155" s="70"/>
      <c r="C155" s="70"/>
      <c r="D155" s="70"/>
      <c r="E155" s="70"/>
      <c r="F155" s="70"/>
      <c r="G155" s="70">
        <v>3.84</v>
      </c>
      <c r="H155" s="70"/>
    </row>
    <row r="156" spans="1:8">
      <c r="A156" s="70" t="s">
        <v>140</v>
      </c>
      <c r="B156" s="70"/>
      <c r="C156" s="70"/>
      <c r="D156" s="70"/>
      <c r="E156" s="70"/>
      <c r="F156" s="70"/>
      <c r="G156" s="70">
        <v>259.88</v>
      </c>
      <c r="H156" s="70"/>
    </row>
    <row r="157" spans="1:8">
      <c r="A157" s="70" t="s">
        <v>0</v>
      </c>
      <c r="B157" s="70" t="s">
        <v>24</v>
      </c>
      <c r="C157" s="70" t="s">
        <v>1</v>
      </c>
      <c r="D157" s="70"/>
      <c r="E157" s="70"/>
      <c r="F157" s="70" t="s">
        <v>3</v>
      </c>
      <c r="G157" s="70" t="s">
        <v>128</v>
      </c>
      <c r="H157" s="70" t="s">
        <v>30</v>
      </c>
    </row>
    <row r="158" spans="1:8">
      <c r="A158" s="70"/>
      <c r="B158" s="70"/>
      <c r="C158" s="70" t="s">
        <v>129</v>
      </c>
      <c r="D158" s="70" t="s">
        <v>130</v>
      </c>
      <c r="E158" s="70" t="s">
        <v>131</v>
      </c>
      <c r="F158" s="70"/>
      <c r="G158" s="70"/>
      <c r="H158" s="70"/>
    </row>
    <row r="159" ht="27" spans="1:8">
      <c r="A159" s="70" t="s">
        <v>132</v>
      </c>
      <c r="B159" s="70" t="s">
        <v>32</v>
      </c>
      <c r="C159" s="70" t="s">
        <v>133</v>
      </c>
      <c r="D159" s="70" t="s">
        <v>134</v>
      </c>
      <c r="E159" s="70" t="s">
        <v>135</v>
      </c>
      <c r="F159" s="70">
        <v>5</v>
      </c>
      <c r="G159" s="70">
        <v>100.48</v>
      </c>
      <c r="H159" s="70" t="s">
        <v>144</v>
      </c>
    </row>
    <row r="160" spans="1:8">
      <c r="A160" s="70" t="s">
        <v>137</v>
      </c>
      <c r="B160" s="70" t="s">
        <v>32</v>
      </c>
      <c r="C160" s="70">
        <v>12</v>
      </c>
      <c r="D160" s="70">
        <v>178</v>
      </c>
      <c r="E160" s="70">
        <v>400</v>
      </c>
      <c r="F160" s="70">
        <v>5</v>
      </c>
      <c r="G160" s="70">
        <v>33.54</v>
      </c>
      <c r="H160" s="70"/>
    </row>
    <row r="161" ht="27" spans="1:8">
      <c r="A161" s="70" t="s">
        <v>138</v>
      </c>
      <c r="B161" s="70" t="s">
        <v>32</v>
      </c>
      <c r="C161" s="70">
        <v>12</v>
      </c>
      <c r="D161" s="70">
        <v>381</v>
      </c>
      <c r="E161" s="70">
        <v>340</v>
      </c>
      <c r="F161" s="70">
        <v>10</v>
      </c>
      <c r="G161" s="70">
        <v>122.03</v>
      </c>
      <c r="H161" s="70"/>
    </row>
    <row r="162" spans="1:8">
      <c r="A162" s="70" t="s">
        <v>139</v>
      </c>
      <c r="B162" s="70"/>
      <c r="C162" s="70"/>
      <c r="D162" s="70"/>
      <c r="E162" s="70"/>
      <c r="F162" s="70"/>
      <c r="G162" s="70">
        <v>3.84</v>
      </c>
      <c r="H162" s="70"/>
    </row>
    <row r="163" spans="1:8">
      <c r="A163" s="70" t="s">
        <v>140</v>
      </c>
      <c r="B163" s="70"/>
      <c r="C163" s="70"/>
      <c r="D163" s="70"/>
      <c r="E163" s="70"/>
      <c r="F163" s="70"/>
      <c r="G163" s="70">
        <v>259.88</v>
      </c>
      <c r="H163" s="70"/>
    </row>
    <row r="164" spans="1:8">
      <c r="A164" s="70" t="s">
        <v>0</v>
      </c>
      <c r="B164" s="70" t="s">
        <v>24</v>
      </c>
      <c r="C164" s="70" t="s">
        <v>1</v>
      </c>
      <c r="D164" s="70"/>
      <c r="E164" s="70"/>
      <c r="F164" s="70" t="s">
        <v>3</v>
      </c>
      <c r="G164" s="70" t="s">
        <v>128</v>
      </c>
      <c r="H164" s="70" t="s">
        <v>30</v>
      </c>
    </row>
    <row r="165" spans="1:8">
      <c r="A165" s="70"/>
      <c r="B165" s="70"/>
      <c r="C165" s="70" t="s">
        <v>129</v>
      </c>
      <c r="D165" s="70" t="s">
        <v>130</v>
      </c>
      <c r="E165" s="70" t="s">
        <v>131</v>
      </c>
      <c r="F165" s="70"/>
      <c r="G165" s="70"/>
      <c r="H165" s="70"/>
    </row>
    <row r="166" ht="27" spans="1:8">
      <c r="A166" s="70" t="s">
        <v>132</v>
      </c>
      <c r="B166" s="70" t="s">
        <v>32</v>
      </c>
      <c r="C166" s="70" t="s">
        <v>133</v>
      </c>
      <c r="D166" s="70" t="s">
        <v>134</v>
      </c>
      <c r="E166" s="70" t="s">
        <v>135</v>
      </c>
      <c r="F166" s="70">
        <v>5</v>
      </c>
      <c r="G166" s="70">
        <v>100.48</v>
      </c>
      <c r="H166" s="70" t="s">
        <v>145</v>
      </c>
    </row>
    <row r="167" spans="1:8">
      <c r="A167" s="70" t="s">
        <v>137</v>
      </c>
      <c r="B167" s="70" t="s">
        <v>32</v>
      </c>
      <c r="C167" s="70">
        <v>12</v>
      </c>
      <c r="D167" s="70">
        <v>178</v>
      </c>
      <c r="E167" s="70">
        <v>400</v>
      </c>
      <c r="F167" s="70">
        <v>5</v>
      </c>
      <c r="G167" s="70">
        <v>33.54</v>
      </c>
      <c r="H167" s="70"/>
    </row>
    <row r="168" ht="27" spans="1:8">
      <c r="A168" s="70" t="s">
        <v>138</v>
      </c>
      <c r="B168" s="70" t="s">
        <v>32</v>
      </c>
      <c r="C168" s="70">
        <v>12</v>
      </c>
      <c r="D168" s="70">
        <v>381</v>
      </c>
      <c r="E168" s="70">
        <v>340</v>
      </c>
      <c r="F168" s="70">
        <v>10</v>
      </c>
      <c r="G168" s="70">
        <v>122.03</v>
      </c>
      <c r="H168" s="70"/>
    </row>
    <row r="169" spans="1:8">
      <c r="A169" s="70" t="s">
        <v>139</v>
      </c>
      <c r="B169" s="70"/>
      <c r="C169" s="70"/>
      <c r="D169" s="70"/>
      <c r="E169" s="70"/>
      <c r="F169" s="70"/>
      <c r="G169" s="70">
        <v>3.84</v>
      </c>
      <c r="H169" s="70"/>
    </row>
    <row r="170" spans="1:8">
      <c r="A170" s="70" t="s">
        <v>140</v>
      </c>
      <c r="B170" s="70"/>
      <c r="C170" s="70"/>
      <c r="D170" s="70"/>
      <c r="E170" s="70"/>
      <c r="F170" s="70"/>
      <c r="G170" s="70">
        <v>259.88</v>
      </c>
      <c r="H170" s="70"/>
    </row>
    <row r="171" spans="1:8">
      <c r="A171" s="70" t="s">
        <v>0</v>
      </c>
      <c r="B171" s="70" t="s">
        <v>24</v>
      </c>
      <c r="C171" s="70" t="s">
        <v>1</v>
      </c>
      <c r="D171" s="70"/>
      <c r="E171" s="70"/>
      <c r="F171" s="70" t="s">
        <v>3</v>
      </c>
      <c r="G171" s="70" t="s">
        <v>128</v>
      </c>
      <c r="H171" s="70" t="s">
        <v>30</v>
      </c>
    </row>
    <row r="172" spans="1:8">
      <c r="A172" s="70"/>
      <c r="B172" s="70"/>
      <c r="C172" s="70" t="s">
        <v>129</v>
      </c>
      <c r="D172" s="70" t="s">
        <v>130</v>
      </c>
      <c r="E172" s="70" t="s">
        <v>131</v>
      </c>
      <c r="F172" s="70"/>
      <c r="G172" s="70"/>
      <c r="H172" s="70"/>
    </row>
    <row r="173" ht="27" spans="1:8">
      <c r="A173" s="70" t="s">
        <v>132</v>
      </c>
      <c r="B173" s="70" t="s">
        <v>32</v>
      </c>
      <c r="C173" s="70" t="s">
        <v>133</v>
      </c>
      <c r="D173" s="70" t="s">
        <v>134</v>
      </c>
      <c r="E173" s="70" t="s">
        <v>135</v>
      </c>
      <c r="F173" s="70">
        <v>5</v>
      </c>
      <c r="G173" s="70">
        <v>100.48</v>
      </c>
      <c r="H173" s="70" t="s">
        <v>146</v>
      </c>
    </row>
    <row r="174" spans="1:8">
      <c r="A174" s="70" t="s">
        <v>137</v>
      </c>
      <c r="B174" s="70" t="s">
        <v>32</v>
      </c>
      <c r="C174" s="70">
        <v>12</v>
      </c>
      <c r="D174" s="70">
        <v>178</v>
      </c>
      <c r="E174" s="70">
        <v>400</v>
      </c>
      <c r="F174" s="70">
        <v>5</v>
      </c>
      <c r="G174" s="70">
        <v>33.54</v>
      </c>
      <c r="H174" s="70"/>
    </row>
    <row r="175" ht="27" spans="1:8">
      <c r="A175" s="70" t="s">
        <v>138</v>
      </c>
      <c r="B175" s="70" t="s">
        <v>32</v>
      </c>
      <c r="C175" s="70">
        <v>12</v>
      </c>
      <c r="D175" s="70">
        <v>381</v>
      </c>
      <c r="E175" s="70">
        <v>340</v>
      </c>
      <c r="F175" s="70">
        <v>10</v>
      </c>
      <c r="G175" s="70">
        <v>122.03</v>
      </c>
      <c r="H175" s="70"/>
    </row>
    <row r="176" spans="1:8">
      <c r="A176" s="70" t="s">
        <v>139</v>
      </c>
      <c r="B176" s="70"/>
      <c r="C176" s="70"/>
      <c r="D176" s="70"/>
      <c r="E176" s="70"/>
      <c r="F176" s="70"/>
      <c r="G176" s="70">
        <v>3.84</v>
      </c>
      <c r="H176" s="70"/>
    </row>
    <row r="177" spans="1:8">
      <c r="A177" s="70" t="s">
        <v>140</v>
      </c>
      <c r="B177" s="70"/>
      <c r="C177" s="70"/>
      <c r="D177" s="70"/>
      <c r="E177" s="70"/>
      <c r="F177" s="70"/>
      <c r="G177" s="70">
        <v>259.88</v>
      </c>
      <c r="H177" s="70"/>
    </row>
    <row r="178" spans="1:8">
      <c r="A178" s="70" t="s">
        <v>0</v>
      </c>
      <c r="B178" s="70" t="s">
        <v>24</v>
      </c>
      <c r="C178" s="70" t="s">
        <v>1</v>
      </c>
      <c r="D178" s="70"/>
      <c r="E178" s="70"/>
      <c r="F178" s="70" t="s">
        <v>3</v>
      </c>
      <c r="G178" s="70" t="s">
        <v>128</v>
      </c>
      <c r="H178" s="70" t="s">
        <v>30</v>
      </c>
    </row>
    <row r="179" spans="1:8">
      <c r="A179" s="70"/>
      <c r="B179" s="70"/>
      <c r="C179" s="70" t="s">
        <v>129</v>
      </c>
      <c r="D179" s="70" t="s">
        <v>130</v>
      </c>
      <c r="E179" s="70" t="s">
        <v>131</v>
      </c>
      <c r="F179" s="70"/>
      <c r="G179" s="70"/>
      <c r="H179" s="70"/>
    </row>
    <row r="180" ht="27" spans="1:8">
      <c r="A180" s="70" t="s">
        <v>132</v>
      </c>
      <c r="B180" s="70" t="s">
        <v>32</v>
      </c>
      <c r="C180" s="70" t="s">
        <v>133</v>
      </c>
      <c r="D180" s="70" t="s">
        <v>134</v>
      </c>
      <c r="E180" s="70" t="s">
        <v>135</v>
      </c>
      <c r="F180" s="70">
        <v>5</v>
      </c>
      <c r="G180" s="70">
        <v>100.48</v>
      </c>
      <c r="H180" s="70" t="s">
        <v>147</v>
      </c>
    </row>
    <row r="181" spans="1:8">
      <c r="A181" s="70" t="s">
        <v>137</v>
      </c>
      <c r="B181" s="70" t="s">
        <v>32</v>
      </c>
      <c r="C181" s="70">
        <v>12</v>
      </c>
      <c r="D181" s="70">
        <v>178</v>
      </c>
      <c r="E181" s="70">
        <v>400</v>
      </c>
      <c r="F181" s="70">
        <v>5</v>
      </c>
      <c r="G181" s="70">
        <v>33.54</v>
      </c>
      <c r="H181" s="70"/>
    </row>
    <row r="182" ht="27" spans="1:8">
      <c r="A182" s="70" t="s">
        <v>138</v>
      </c>
      <c r="B182" s="70" t="s">
        <v>32</v>
      </c>
      <c r="C182" s="70">
        <v>12</v>
      </c>
      <c r="D182" s="70">
        <v>381</v>
      </c>
      <c r="E182" s="70">
        <v>340</v>
      </c>
      <c r="F182" s="70">
        <v>10</v>
      </c>
      <c r="G182" s="70">
        <v>122.03</v>
      </c>
      <c r="H182" s="70"/>
    </row>
    <row r="183" spans="1:8">
      <c r="A183" s="70" t="s">
        <v>139</v>
      </c>
      <c r="B183" s="70"/>
      <c r="C183" s="70"/>
      <c r="D183" s="70"/>
      <c r="E183" s="70"/>
      <c r="F183" s="70"/>
      <c r="G183" s="70">
        <v>3.84</v>
      </c>
      <c r="H183" s="70"/>
    </row>
    <row r="184" spans="1:8">
      <c r="A184" s="70" t="s">
        <v>140</v>
      </c>
      <c r="B184" s="70"/>
      <c r="C184" s="70"/>
      <c r="D184" s="70"/>
      <c r="E184" s="70"/>
      <c r="F184" s="70"/>
      <c r="G184" s="70">
        <v>259.88</v>
      </c>
      <c r="H184" s="70"/>
    </row>
  </sheetData>
  <autoFilter ref="A1:H184">
    <extLst/>
  </autoFilter>
  <mergeCells count="184">
    <mergeCell ref="C1:E1"/>
    <mergeCell ref="A10:F10"/>
    <mergeCell ref="A11:F11"/>
    <mergeCell ref="A12:F12"/>
    <mergeCell ref="A13:F13"/>
    <mergeCell ref="A14:F14"/>
    <mergeCell ref="A15:F15"/>
    <mergeCell ref="A16:F16"/>
    <mergeCell ref="C17:E17"/>
    <mergeCell ref="A26:F26"/>
    <mergeCell ref="A27:F27"/>
    <mergeCell ref="A28:F28"/>
    <mergeCell ref="A29:F29"/>
    <mergeCell ref="A30:F30"/>
    <mergeCell ref="A31:F31"/>
    <mergeCell ref="A32:F32"/>
    <mergeCell ref="C33:E33"/>
    <mergeCell ref="A42:F42"/>
    <mergeCell ref="A43:F43"/>
    <mergeCell ref="A44:F44"/>
    <mergeCell ref="A45:F45"/>
    <mergeCell ref="A46:F46"/>
    <mergeCell ref="A47:F47"/>
    <mergeCell ref="A48:F48"/>
    <mergeCell ref="C49:E49"/>
    <mergeCell ref="A58:F58"/>
    <mergeCell ref="A59:F59"/>
    <mergeCell ref="A60:F60"/>
    <mergeCell ref="A61:F61"/>
    <mergeCell ref="A62:F62"/>
    <mergeCell ref="A63:F63"/>
    <mergeCell ref="A64:F64"/>
    <mergeCell ref="C65:E65"/>
    <mergeCell ref="A74:F74"/>
    <mergeCell ref="A75:F75"/>
    <mergeCell ref="A76:F76"/>
    <mergeCell ref="A77:F77"/>
    <mergeCell ref="A78:F78"/>
    <mergeCell ref="A79:F79"/>
    <mergeCell ref="A80:F80"/>
    <mergeCell ref="C81:E81"/>
    <mergeCell ref="A90:F90"/>
    <mergeCell ref="A91:F91"/>
    <mergeCell ref="A92:F92"/>
    <mergeCell ref="A93:F93"/>
    <mergeCell ref="A94:F94"/>
    <mergeCell ref="A95:F95"/>
    <mergeCell ref="A96:F96"/>
    <mergeCell ref="C97:E97"/>
    <mergeCell ref="A106:F106"/>
    <mergeCell ref="A107:F107"/>
    <mergeCell ref="A108:F108"/>
    <mergeCell ref="A109:F109"/>
    <mergeCell ref="A110:F110"/>
    <mergeCell ref="A111:F111"/>
    <mergeCell ref="A112:F112"/>
    <mergeCell ref="C113:E113"/>
    <mergeCell ref="A122:F122"/>
    <mergeCell ref="A123:F123"/>
    <mergeCell ref="A124:F124"/>
    <mergeCell ref="A125:F125"/>
    <mergeCell ref="A126:F126"/>
    <mergeCell ref="A127:F127"/>
    <mergeCell ref="A128:F128"/>
    <mergeCell ref="C129:E129"/>
    <mergeCell ref="A134:F134"/>
    <mergeCell ref="A135:F135"/>
    <mergeCell ref="C136:E136"/>
    <mergeCell ref="A141:F141"/>
    <mergeCell ref="A142:F142"/>
    <mergeCell ref="C143:E143"/>
    <mergeCell ref="A148:F148"/>
    <mergeCell ref="A149:F149"/>
    <mergeCell ref="C150:E150"/>
    <mergeCell ref="A155:F155"/>
    <mergeCell ref="A156:F156"/>
    <mergeCell ref="C157:E157"/>
    <mergeCell ref="A162:F162"/>
    <mergeCell ref="A163:F163"/>
    <mergeCell ref="C164:E164"/>
    <mergeCell ref="A169:F169"/>
    <mergeCell ref="A170:F170"/>
    <mergeCell ref="C171:E171"/>
    <mergeCell ref="A176:F176"/>
    <mergeCell ref="A177:F177"/>
    <mergeCell ref="C178:E178"/>
    <mergeCell ref="A183:F183"/>
    <mergeCell ref="A184:F184"/>
    <mergeCell ref="A1:A2"/>
    <mergeCell ref="A17:A18"/>
    <mergeCell ref="A33:A34"/>
    <mergeCell ref="A49:A50"/>
    <mergeCell ref="A65:A66"/>
    <mergeCell ref="A81:A82"/>
    <mergeCell ref="A97:A98"/>
    <mergeCell ref="A113:A114"/>
    <mergeCell ref="A129:A130"/>
    <mergeCell ref="A136:A137"/>
    <mergeCell ref="A143:A144"/>
    <mergeCell ref="A150:A151"/>
    <mergeCell ref="A157:A158"/>
    <mergeCell ref="A164:A165"/>
    <mergeCell ref="A171:A172"/>
    <mergeCell ref="A178:A179"/>
    <mergeCell ref="B1:B2"/>
    <mergeCell ref="B17:B18"/>
    <mergeCell ref="B33:B34"/>
    <mergeCell ref="B49:B50"/>
    <mergeCell ref="B65:B66"/>
    <mergeCell ref="B81:B82"/>
    <mergeCell ref="B97:B98"/>
    <mergeCell ref="B113:B114"/>
    <mergeCell ref="B129:B130"/>
    <mergeCell ref="B136:B137"/>
    <mergeCell ref="B143:B144"/>
    <mergeCell ref="B150:B151"/>
    <mergeCell ref="B157:B158"/>
    <mergeCell ref="B164:B165"/>
    <mergeCell ref="B171:B172"/>
    <mergeCell ref="B178:B179"/>
    <mergeCell ref="F1:F2"/>
    <mergeCell ref="F17:F18"/>
    <mergeCell ref="F33:F34"/>
    <mergeCell ref="F49:F50"/>
    <mergeCell ref="F65:F66"/>
    <mergeCell ref="F81:F82"/>
    <mergeCell ref="F97:F98"/>
    <mergeCell ref="F113:F114"/>
    <mergeCell ref="F129:F130"/>
    <mergeCell ref="F136:F137"/>
    <mergeCell ref="F143:F144"/>
    <mergeCell ref="F150:F151"/>
    <mergeCell ref="F157:F158"/>
    <mergeCell ref="F164:F165"/>
    <mergeCell ref="F171:F172"/>
    <mergeCell ref="F178:F179"/>
    <mergeCell ref="G1:G2"/>
    <mergeCell ref="G17:G18"/>
    <mergeCell ref="G33:G34"/>
    <mergeCell ref="G49:G50"/>
    <mergeCell ref="G65:G66"/>
    <mergeCell ref="G81:G82"/>
    <mergeCell ref="G97:G98"/>
    <mergeCell ref="G113:G114"/>
    <mergeCell ref="G129:G130"/>
    <mergeCell ref="G136:G137"/>
    <mergeCell ref="G143:G144"/>
    <mergeCell ref="G150:G151"/>
    <mergeCell ref="G157:G158"/>
    <mergeCell ref="G164:G165"/>
    <mergeCell ref="G171:G172"/>
    <mergeCell ref="G178:G179"/>
    <mergeCell ref="H1:H2"/>
    <mergeCell ref="H3:H16"/>
    <mergeCell ref="H17:H18"/>
    <mergeCell ref="H19:H32"/>
    <mergeCell ref="H33:H34"/>
    <mergeCell ref="H35:H48"/>
    <mergeCell ref="H49:H50"/>
    <mergeCell ref="H51:H64"/>
    <mergeCell ref="H65:H66"/>
    <mergeCell ref="H67:H80"/>
    <mergeCell ref="H81:H82"/>
    <mergeCell ref="H83:H96"/>
    <mergeCell ref="H97:H98"/>
    <mergeCell ref="H99:H112"/>
    <mergeCell ref="H113:H114"/>
    <mergeCell ref="H115:H128"/>
    <mergeCell ref="H129:H130"/>
    <mergeCell ref="H131:H135"/>
    <mergeCell ref="H136:H137"/>
    <mergeCell ref="H138:H142"/>
    <mergeCell ref="H143:H144"/>
    <mergeCell ref="H145:H149"/>
    <mergeCell ref="H150:H151"/>
    <mergeCell ref="H152:H156"/>
    <mergeCell ref="H157:H158"/>
    <mergeCell ref="H159:H163"/>
    <mergeCell ref="H164:H165"/>
    <mergeCell ref="H166:H170"/>
    <mergeCell ref="H171:H172"/>
    <mergeCell ref="H173:H177"/>
    <mergeCell ref="H178:H179"/>
    <mergeCell ref="H180:H184"/>
  </mergeCells>
  <pageMargins left="0.75" right="0.75" top="1" bottom="1" header="0.5" footer="0.5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/>
  <dimension ref="A1:J64"/>
  <sheetViews>
    <sheetView workbookViewId="0">
      <selection activeCell="F21" sqref="F21"/>
    </sheetView>
  </sheetViews>
  <sheetFormatPr defaultColWidth="9" defaultRowHeight="13.5"/>
  <sheetData>
    <row r="1" spans="1:8">
      <c r="A1" s="70" t="s">
        <v>0</v>
      </c>
      <c r="B1" s="70" t="s">
        <v>24</v>
      </c>
      <c r="C1" s="70" t="s">
        <v>1</v>
      </c>
      <c r="D1" s="70"/>
      <c r="E1" s="70"/>
      <c r="F1" s="70" t="s">
        <v>2</v>
      </c>
      <c r="G1" s="70" t="s">
        <v>3</v>
      </c>
      <c r="H1" s="70" t="s">
        <v>30</v>
      </c>
    </row>
    <row r="2" ht="27" spans="1:8">
      <c r="A2" s="70"/>
      <c r="B2" s="70"/>
      <c r="C2" s="70" t="s">
        <v>8</v>
      </c>
      <c r="D2" s="70" t="s">
        <v>9</v>
      </c>
      <c r="E2" s="70" t="s">
        <v>10</v>
      </c>
      <c r="F2" s="70"/>
      <c r="G2" s="70"/>
      <c r="H2" s="70"/>
    </row>
    <row r="3" spans="1:8">
      <c r="A3" s="70" t="s">
        <v>11</v>
      </c>
      <c r="B3" s="70" t="s">
        <v>32</v>
      </c>
      <c r="C3" s="70">
        <v>16</v>
      </c>
      <c r="D3" s="70">
        <v>4500</v>
      </c>
      <c r="E3" s="70">
        <v>97055</v>
      </c>
      <c r="F3" s="70">
        <v>1</v>
      </c>
      <c r="G3" s="70">
        <v>54855.49</v>
      </c>
      <c r="H3" s="70" t="s">
        <v>148</v>
      </c>
    </row>
    <row r="4" ht="27" spans="1:8">
      <c r="A4" s="70" t="s">
        <v>12</v>
      </c>
      <c r="B4" s="70" t="s">
        <v>32</v>
      </c>
      <c r="C4" s="70" t="s">
        <v>13</v>
      </c>
      <c r="D4" s="70"/>
      <c r="E4" s="70">
        <v>97055</v>
      </c>
      <c r="F4" s="70">
        <v>2</v>
      </c>
      <c r="G4" s="70">
        <v>45834.81</v>
      </c>
      <c r="H4" s="70"/>
    </row>
    <row r="5" spans="1:10">
      <c r="A5" s="70" t="s">
        <v>15</v>
      </c>
      <c r="B5" s="70" t="s">
        <v>32</v>
      </c>
      <c r="C5" s="70">
        <v>12</v>
      </c>
      <c r="D5" s="70">
        <v>308</v>
      </c>
      <c r="E5" s="70">
        <v>568</v>
      </c>
      <c r="F5" s="74">
        <v>100</v>
      </c>
      <c r="G5" s="70">
        <v>1647.97</v>
      </c>
      <c r="H5" s="70"/>
      <c r="I5" t="s">
        <v>62</v>
      </c>
      <c r="J5">
        <v>100</v>
      </c>
    </row>
    <row r="6" spans="1:10">
      <c r="A6" s="70" t="s">
        <v>16</v>
      </c>
      <c r="B6" s="70" t="s">
        <v>32</v>
      </c>
      <c r="C6" s="70">
        <v>12</v>
      </c>
      <c r="D6" s="70">
        <v>324</v>
      </c>
      <c r="E6" s="70">
        <v>2500</v>
      </c>
      <c r="F6" s="70">
        <v>50</v>
      </c>
      <c r="G6" s="70">
        <v>3815.1</v>
      </c>
      <c r="H6" s="70"/>
      <c r="I6" t="s">
        <v>62</v>
      </c>
      <c r="J6">
        <v>50</v>
      </c>
    </row>
    <row r="7" spans="1:10">
      <c r="A7" s="70" t="s">
        <v>17</v>
      </c>
      <c r="B7" s="70" t="s">
        <v>32</v>
      </c>
      <c r="C7" s="70">
        <v>12</v>
      </c>
      <c r="D7" s="70">
        <v>324</v>
      </c>
      <c r="E7" s="70">
        <v>400</v>
      </c>
      <c r="F7" s="74">
        <v>100</v>
      </c>
      <c r="G7" s="70">
        <v>1220.83</v>
      </c>
      <c r="H7" s="70"/>
      <c r="I7" t="s">
        <v>62</v>
      </c>
      <c r="J7">
        <v>100</v>
      </c>
    </row>
    <row r="8" spans="1:8">
      <c r="A8" s="70" t="s">
        <v>18</v>
      </c>
      <c r="B8" s="70" t="s">
        <v>32</v>
      </c>
      <c r="C8" s="70">
        <v>16</v>
      </c>
      <c r="D8" s="70">
        <v>2500</v>
      </c>
      <c r="E8" s="70">
        <v>97055</v>
      </c>
      <c r="F8" s="70">
        <v>1</v>
      </c>
      <c r="G8" s="70">
        <v>30475.27</v>
      </c>
      <c r="H8" s="70"/>
    </row>
    <row r="9" spans="1:8">
      <c r="A9" s="70" t="s">
        <v>19</v>
      </c>
      <c r="B9" s="70" t="s">
        <v>32</v>
      </c>
      <c r="C9" s="70">
        <v>16</v>
      </c>
      <c r="D9" s="70">
        <v>482</v>
      </c>
      <c r="E9" s="70">
        <v>97055</v>
      </c>
      <c r="F9" s="70">
        <v>2</v>
      </c>
      <c r="G9" s="70">
        <v>11751.26</v>
      </c>
      <c r="H9" s="70"/>
    </row>
    <row r="10" spans="1:8">
      <c r="A10" s="70" t="s">
        <v>114</v>
      </c>
      <c r="B10" s="70"/>
      <c r="C10" s="70"/>
      <c r="D10" s="70"/>
      <c r="E10" s="70"/>
      <c r="F10" s="70"/>
      <c r="G10" s="70">
        <v>2.24</v>
      </c>
      <c r="H10" s="70"/>
    </row>
    <row r="11" spans="1:8">
      <c r="A11" s="70" t="s">
        <v>115</v>
      </c>
      <c r="B11" s="70"/>
      <c r="C11" s="70"/>
      <c r="D11" s="70"/>
      <c r="E11" s="70"/>
      <c r="F11" s="70"/>
      <c r="G11" s="70">
        <v>149.6</v>
      </c>
      <c r="H11" s="70"/>
    </row>
    <row r="12" spans="1:8">
      <c r="A12" s="70" t="s">
        <v>116</v>
      </c>
      <c r="B12" s="70"/>
      <c r="C12" s="70"/>
      <c r="D12" s="70"/>
      <c r="E12" s="70"/>
      <c r="F12" s="70"/>
      <c r="G12" s="70">
        <v>2.3</v>
      </c>
      <c r="H12" s="70"/>
    </row>
    <row r="13" spans="1:8">
      <c r="A13" s="70" t="s">
        <v>117</v>
      </c>
      <c r="B13" s="70"/>
      <c r="C13" s="70"/>
      <c r="D13" s="70"/>
      <c r="E13" s="70"/>
      <c r="F13" s="70"/>
      <c r="G13" s="70">
        <v>436.75</v>
      </c>
      <c r="H13" s="70"/>
    </row>
    <row r="14" spans="1:8">
      <c r="A14" s="70" t="s">
        <v>118</v>
      </c>
      <c r="B14" s="70"/>
      <c r="C14" s="70"/>
      <c r="D14" s="70"/>
      <c r="E14" s="70"/>
      <c r="F14" s="70"/>
      <c r="G14" s="70">
        <v>26.2</v>
      </c>
      <c r="H14" s="70"/>
    </row>
    <row r="15" spans="1:8">
      <c r="A15" s="70" t="s">
        <v>119</v>
      </c>
      <c r="B15" s="70"/>
      <c r="C15" s="70"/>
      <c r="D15" s="70"/>
      <c r="E15" s="70"/>
      <c r="F15" s="70"/>
      <c r="G15" s="70">
        <v>436.75</v>
      </c>
      <c r="H15" s="70"/>
    </row>
    <row r="16" spans="1:8">
      <c r="A16" s="70" t="s">
        <v>120</v>
      </c>
      <c r="B16" s="70"/>
      <c r="C16" s="70"/>
      <c r="D16" s="70"/>
      <c r="E16" s="70"/>
      <c r="F16" s="70"/>
      <c r="G16" s="70">
        <v>26.2</v>
      </c>
      <c r="H16" s="70"/>
    </row>
    <row r="17" spans="1:8">
      <c r="A17" s="70" t="s">
        <v>0</v>
      </c>
      <c r="B17" s="70" t="s">
        <v>24</v>
      </c>
      <c r="C17" s="70" t="s">
        <v>1</v>
      </c>
      <c r="D17" s="70"/>
      <c r="E17" s="70"/>
      <c r="F17" s="70" t="s">
        <v>2</v>
      </c>
      <c r="G17" s="70" t="s">
        <v>3</v>
      </c>
      <c r="H17" s="70" t="s">
        <v>30</v>
      </c>
    </row>
    <row r="18" ht="27" spans="1:8">
      <c r="A18" s="70"/>
      <c r="B18" s="70"/>
      <c r="C18" s="70" t="s">
        <v>8</v>
      </c>
      <c r="D18" s="70" t="s">
        <v>9</v>
      </c>
      <c r="E18" s="70" t="s">
        <v>10</v>
      </c>
      <c r="F18" s="70"/>
      <c r="G18" s="70"/>
      <c r="H18" s="70"/>
    </row>
    <row r="19" spans="1:8">
      <c r="A19" s="70" t="s">
        <v>11</v>
      </c>
      <c r="B19" s="70" t="s">
        <v>32</v>
      </c>
      <c r="C19" s="70">
        <v>16</v>
      </c>
      <c r="D19" s="70">
        <v>4500</v>
      </c>
      <c r="E19" s="70">
        <v>113970</v>
      </c>
      <c r="F19" s="70">
        <v>1</v>
      </c>
      <c r="G19" s="70">
        <v>64415.84</v>
      </c>
      <c r="H19" s="70" t="s">
        <v>149</v>
      </c>
    </row>
    <row r="20" ht="27" spans="1:8">
      <c r="A20" s="70" t="s">
        <v>12</v>
      </c>
      <c r="B20" s="70" t="s">
        <v>32</v>
      </c>
      <c r="C20" s="70" t="s">
        <v>13</v>
      </c>
      <c r="D20" s="70"/>
      <c r="E20" s="70">
        <v>113970</v>
      </c>
      <c r="F20" s="70">
        <v>2</v>
      </c>
      <c r="G20" s="70">
        <v>53823.02</v>
      </c>
      <c r="H20" s="70"/>
    </row>
    <row r="21" spans="1:10">
      <c r="A21" s="70" t="s">
        <v>15</v>
      </c>
      <c r="B21" s="70" t="s">
        <v>32</v>
      </c>
      <c r="C21" s="70">
        <v>12</v>
      </c>
      <c r="D21" s="70">
        <v>308</v>
      </c>
      <c r="E21" s="70">
        <v>568</v>
      </c>
      <c r="F21" s="70">
        <v>118</v>
      </c>
      <c r="G21" s="70">
        <v>1944.61</v>
      </c>
      <c r="H21" s="70"/>
      <c r="I21" t="s">
        <v>63</v>
      </c>
      <c r="J21">
        <v>120</v>
      </c>
    </row>
    <row r="22" spans="1:10">
      <c r="A22" s="70" t="s">
        <v>16</v>
      </c>
      <c r="B22" s="70" t="s">
        <v>32</v>
      </c>
      <c r="C22" s="70">
        <v>12</v>
      </c>
      <c r="D22" s="70">
        <v>324</v>
      </c>
      <c r="E22" s="70">
        <v>2500</v>
      </c>
      <c r="F22" s="70">
        <v>59</v>
      </c>
      <c r="G22" s="70">
        <v>4501.82</v>
      </c>
      <c r="H22" s="70"/>
      <c r="I22" t="s">
        <v>63</v>
      </c>
      <c r="J22">
        <v>60</v>
      </c>
    </row>
    <row r="23" spans="1:10">
      <c r="A23" s="70" t="s">
        <v>17</v>
      </c>
      <c r="B23" s="70" t="s">
        <v>32</v>
      </c>
      <c r="C23" s="70">
        <v>12</v>
      </c>
      <c r="D23" s="70">
        <v>324</v>
      </c>
      <c r="E23" s="70">
        <v>400</v>
      </c>
      <c r="F23" s="70">
        <v>118</v>
      </c>
      <c r="G23" s="70">
        <v>1440.58</v>
      </c>
      <c r="H23" s="70"/>
      <c r="I23" t="s">
        <v>63</v>
      </c>
      <c r="J23">
        <v>122</v>
      </c>
    </row>
    <row r="24" spans="1:8">
      <c r="A24" s="70" t="s">
        <v>18</v>
      </c>
      <c r="B24" s="70" t="s">
        <v>32</v>
      </c>
      <c r="C24" s="70">
        <v>16</v>
      </c>
      <c r="D24" s="70">
        <v>2500</v>
      </c>
      <c r="E24" s="70">
        <v>113970</v>
      </c>
      <c r="F24" s="70">
        <v>1</v>
      </c>
      <c r="G24" s="70">
        <v>35786.58</v>
      </c>
      <c r="H24" s="70"/>
    </row>
    <row r="25" spans="1:8">
      <c r="A25" s="70" t="s">
        <v>19</v>
      </c>
      <c r="B25" s="70" t="s">
        <v>32</v>
      </c>
      <c r="C25" s="70">
        <v>16</v>
      </c>
      <c r="D25" s="70">
        <v>482</v>
      </c>
      <c r="E25" s="70">
        <v>113970</v>
      </c>
      <c r="F25" s="70">
        <v>2</v>
      </c>
      <c r="G25" s="70">
        <v>13799.31</v>
      </c>
      <c r="H25" s="70"/>
    </row>
    <row r="26" spans="1:8">
      <c r="A26" s="70" t="s">
        <v>114</v>
      </c>
      <c r="B26" s="70"/>
      <c r="C26" s="70"/>
      <c r="D26" s="70"/>
      <c r="E26" s="70"/>
      <c r="F26" s="70"/>
      <c r="G26" s="70">
        <v>2.64</v>
      </c>
      <c r="H26" s="70"/>
    </row>
    <row r="27" spans="1:8">
      <c r="A27" s="70" t="s">
        <v>115</v>
      </c>
      <c r="B27" s="70"/>
      <c r="C27" s="70"/>
      <c r="D27" s="70"/>
      <c r="E27" s="70"/>
      <c r="F27" s="70"/>
      <c r="G27" s="70">
        <v>175.71</v>
      </c>
      <c r="H27" s="70"/>
    </row>
    <row r="28" spans="1:8">
      <c r="A28" s="70" t="s">
        <v>116</v>
      </c>
      <c r="B28" s="70"/>
      <c r="C28" s="70"/>
      <c r="D28" s="70"/>
      <c r="E28" s="70"/>
      <c r="F28" s="70"/>
      <c r="G28" s="70">
        <v>2.7</v>
      </c>
      <c r="H28" s="70"/>
    </row>
    <row r="29" spans="1:8">
      <c r="A29" s="70" t="s">
        <v>117</v>
      </c>
      <c r="B29" s="70"/>
      <c r="C29" s="70"/>
      <c r="D29" s="70"/>
      <c r="E29" s="70"/>
      <c r="F29" s="70"/>
      <c r="G29" s="70">
        <v>512.87</v>
      </c>
      <c r="H29" s="70"/>
    </row>
    <row r="30" spans="1:8">
      <c r="A30" s="70" t="s">
        <v>118</v>
      </c>
      <c r="B30" s="70"/>
      <c r="C30" s="70"/>
      <c r="D30" s="70"/>
      <c r="E30" s="70"/>
      <c r="F30" s="70"/>
      <c r="G30" s="70">
        <v>30.77</v>
      </c>
      <c r="H30" s="70"/>
    </row>
    <row r="31" spans="1:8">
      <c r="A31" s="70" t="s">
        <v>119</v>
      </c>
      <c r="B31" s="70"/>
      <c r="C31" s="70"/>
      <c r="D31" s="70"/>
      <c r="E31" s="70"/>
      <c r="F31" s="70"/>
      <c r="G31" s="70">
        <v>512.87</v>
      </c>
      <c r="H31" s="70"/>
    </row>
    <row r="32" spans="1:8">
      <c r="A32" s="70" t="s">
        <v>120</v>
      </c>
      <c r="B32" s="70"/>
      <c r="C32" s="70"/>
      <c r="D32" s="70"/>
      <c r="E32" s="70"/>
      <c r="F32" s="70"/>
      <c r="G32" s="70">
        <v>30.77</v>
      </c>
      <c r="H32" s="70"/>
    </row>
    <row r="33" spans="1:8">
      <c r="A33" s="70" t="s">
        <v>0</v>
      </c>
      <c r="B33" s="70" t="s">
        <v>24</v>
      </c>
      <c r="C33" s="70" t="s">
        <v>1</v>
      </c>
      <c r="D33" s="70"/>
      <c r="E33" s="70"/>
      <c r="F33" s="70" t="s">
        <v>2</v>
      </c>
      <c r="G33" s="70" t="s">
        <v>3</v>
      </c>
      <c r="H33" s="70" t="s">
        <v>30</v>
      </c>
    </row>
    <row r="34" ht="27" spans="1:8">
      <c r="A34" s="70"/>
      <c r="B34" s="70"/>
      <c r="C34" s="70" t="s">
        <v>8</v>
      </c>
      <c r="D34" s="70" t="s">
        <v>9</v>
      </c>
      <c r="E34" s="70" t="s">
        <v>10</v>
      </c>
      <c r="F34" s="70"/>
      <c r="G34" s="70"/>
      <c r="H34" s="70"/>
    </row>
    <row r="35" spans="1:8">
      <c r="A35" s="70" t="s">
        <v>11</v>
      </c>
      <c r="B35" s="70" t="s">
        <v>32</v>
      </c>
      <c r="C35" s="70">
        <v>16</v>
      </c>
      <c r="D35" s="70">
        <v>4500</v>
      </c>
      <c r="E35" s="70">
        <v>98171</v>
      </c>
      <c r="F35" s="70">
        <v>1</v>
      </c>
      <c r="G35" s="70">
        <v>55486.25</v>
      </c>
      <c r="H35" s="70" t="s">
        <v>150</v>
      </c>
    </row>
    <row r="36" ht="27" spans="1:8">
      <c r="A36" s="70" t="s">
        <v>12</v>
      </c>
      <c r="B36" s="70" t="s">
        <v>32</v>
      </c>
      <c r="C36" s="70" t="s">
        <v>13</v>
      </c>
      <c r="D36" s="70"/>
      <c r="E36" s="70">
        <v>98171</v>
      </c>
      <c r="F36" s="70">
        <v>2</v>
      </c>
      <c r="G36" s="70">
        <v>46361.84</v>
      </c>
      <c r="H36" s="70"/>
    </row>
    <row r="37" spans="1:10">
      <c r="A37" s="70" t="s">
        <v>15</v>
      </c>
      <c r="B37" s="70" t="s">
        <v>32</v>
      </c>
      <c r="C37" s="70">
        <v>12</v>
      </c>
      <c r="D37" s="70">
        <v>308</v>
      </c>
      <c r="E37" s="70">
        <v>568</v>
      </c>
      <c r="F37" s="70">
        <v>102</v>
      </c>
      <c r="G37" s="70">
        <v>1680.93</v>
      </c>
      <c r="H37" s="70"/>
      <c r="I37" t="s">
        <v>64</v>
      </c>
      <c r="J37">
        <v>102</v>
      </c>
    </row>
    <row r="38" spans="1:10">
      <c r="A38" s="70" t="s">
        <v>16</v>
      </c>
      <c r="B38" s="70" t="s">
        <v>32</v>
      </c>
      <c r="C38" s="70">
        <v>12</v>
      </c>
      <c r="D38" s="70">
        <v>324</v>
      </c>
      <c r="E38" s="70">
        <v>2500</v>
      </c>
      <c r="F38" s="70">
        <v>51</v>
      </c>
      <c r="G38" s="70">
        <v>3891.4</v>
      </c>
      <c r="H38" s="70"/>
      <c r="I38" t="s">
        <v>64</v>
      </c>
      <c r="J38">
        <v>50</v>
      </c>
    </row>
    <row r="39" spans="1:10">
      <c r="A39" s="70" t="s">
        <v>17</v>
      </c>
      <c r="B39" s="70" t="s">
        <v>32</v>
      </c>
      <c r="C39" s="70">
        <v>12</v>
      </c>
      <c r="D39" s="70">
        <v>324</v>
      </c>
      <c r="E39" s="70">
        <v>400</v>
      </c>
      <c r="F39" s="70">
        <v>102</v>
      </c>
      <c r="G39" s="70">
        <v>1245.25</v>
      </c>
      <c r="H39" s="70"/>
      <c r="I39" t="s">
        <v>64</v>
      </c>
      <c r="J39">
        <v>102</v>
      </c>
    </row>
    <row r="40" spans="1:8">
      <c r="A40" s="70" t="s">
        <v>18</v>
      </c>
      <c r="B40" s="70" t="s">
        <v>32</v>
      </c>
      <c r="C40" s="70">
        <v>16</v>
      </c>
      <c r="D40" s="70">
        <v>2500</v>
      </c>
      <c r="E40" s="70">
        <v>98171</v>
      </c>
      <c r="F40" s="70">
        <v>1</v>
      </c>
      <c r="G40" s="70">
        <v>30825.69</v>
      </c>
      <c r="H40" s="70"/>
    </row>
    <row r="41" spans="1:8">
      <c r="A41" s="70" t="s">
        <v>19</v>
      </c>
      <c r="B41" s="70" t="s">
        <v>32</v>
      </c>
      <c r="C41" s="70">
        <v>16</v>
      </c>
      <c r="D41" s="70">
        <v>482</v>
      </c>
      <c r="E41" s="70">
        <v>98171</v>
      </c>
      <c r="F41" s="70">
        <v>2</v>
      </c>
      <c r="G41" s="70">
        <v>11886.39</v>
      </c>
      <c r="H41" s="70"/>
    </row>
    <row r="42" spans="1:8">
      <c r="A42" s="70" t="s">
        <v>114</v>
      </c>
      <c r="B42" s="70"/>
      <c r="C42" s="70"/>
      <c r="D42" s="70"/>
      <c r="E42" s="70"/>
      <c r="F42" s="70"/>
      <c r="G42" s="70">
        <v>2.27</v>
      </c>
      <c r="H42" s="70"/>
    </row>
    <row r="43" spans="1:8">
      <c r="A43" s="70" t="s">
        <v>115</v>
      </c>
      <c r="B43" s="70"/>
      <c r="C43" s="70"/>
      <c r="D43" s="70"/>
      <c r="E43" s="70"/>
      <c r="F43" s="70"/>
      <c r="G43" s="70">
        <v>151.38</v>
      </c>
      <c r="H43" s="70"/>
    </row>
    <row r="44" spans="1:8">
      <c r="A44" s="70" t="s">
        <v>116</v>
      </c>
      <c r="B44" s="70"/>
      <c r="C44" s="70"/>
      <c r="D44" s="70"/>
      <c r="E44" s="70"/>
      <c r="F44" s="70"/>
      <c r="G44" s="70">
        <v>2.33</v>
      </c>
      <c r="H44" s="70"/>
    </row>
    <row r="45" spans="1:8">
      <c r="A45" s="70" t="s">
        <v>117</v>
      </c>
      <c r="B45" s="70"/>
      <c r="C45" s="70"/>
      <c r="D45" s="70"/>
      <c r="E45" s="70"/>
      <c r="F45" s="70"/>
      <c r="G45" s="70">
        <v>441.77</v>
      </c>
      <c r="H45" s="70"/>
    </row>
    <row r="46" spans="1:8">
      <c r="A46" s="70" t="s">
        <v>118</v>
      </c>
      <c r="B46" s="70"/>
      <c r="C46" s="70"/>
      <c r="D46" s="70"/>
      <c r="E46" s="70"/>
      <c r="F46" s="70"/>
      <c r="G46" s="70">
        <v>26.51</v>
      </c>
      <c r="H46" s="70"/>
    </row>
    <row r="47" spans="1:8">
      <c r="A47" s="70" t="s">
        <v>119</v>
      </c>
      <c r="B47" s="70"/>
      <c r="C47" s="70"/>
      <c r="D47" s="70"/>
      <c r="E47" s="70"/>
      <c r="F47" s="70"/>
      <c r="G47" s="70">
        <v>441.77</v>
      </c>
      <c r="H47" s="70"/>
    </row>
    <row r="48" spans="1:8">
      <c r="A48" s="70" t="s">
        <v>120</v>
      </c>
      <c r="B48" s="70"/>
      <c r="C48" s="70"/>
      <c r="D48" s="70"/>
      <c r="E48" s="70"/>
      <c r="F48" s="70"/>
      <c r="G48" s="70">
        <v>26.51</v>
      </c>
      <c r="H48" s="70"/>
    </row>
    <row r="49" spans="1:8">
      <c r="A49" s="70" t="s">
        <v>0</v>
      </c>
      <c r="B49" s="70" t="s">
        <v>24</v>
      </c>
      <c r="C49" s="70" t="s">
        <v>1</v>
      </c>
      <c r="D49" s="70"/>
      <c r="E49" s="70"/>
      <c r="F49" s="70" t="s">
        <v>2</v>
      </c>
      <c r="G49" s="70" t="s">
        <v>3</v>
      </c>
      <c r="H49" s="70" t="s">
        <v>30</v>
      </c>
    </row>
    <row r="50" ht="27" spans="1:8">
      <c r="A50" s="70"/>
      <c r="B50" s="70"/>
      <c r="C50" s="70" t="s">
        <v>8</v>
      </c>
      <c r="D50" s="70" t="s">
        <v>9</v>
      </c>
      <c r="E50" s="70" t="s">
        <v>10</v>
      </c>
      <c r="F50" s="70"/>
      <c r="G50" s="70"/>
      <c r="H50" s="70"/>
    </row>
    <row r="51" spans="1:8">
      <c r="A51" s="70" t="s">
        <v>11</v>
      </c>
      <c r="B51" s="70" t="s">
        <v>32</v>
      </c>
      <c r="C51" s="70">
        <v>16</v>
      </c>
      <c r="D51" s="70">
        <v>4500</v>
      </c>
      <c r="E51" s="70">
        <v>73495</v>
      </c>
      <c r="F51" s="70">
        <v>1</v>
      </c>
      <c r="G51" s="70">
        <v>41539.37</v>
      </c>
      <c r="H51" s="70" t="s">
        <v>151</v>
      </c>
    </row>
    <row r="52" ht="27" spans="1:8">
      <c r="A52" s="70" t="s">
        <v>12</v>
      </c>
      <c r="B52" s="70" t="s">
        <v>32</v>
      </c>
      <c r="C52" s="70" t="s">
        <v>13</v>
      </c>
      <c r="D52" s="70"/>
      <c r="E52" s="70">
        <v>73495</v>
      </c>
      <c r="F52" s="70">
        <v>2</v>
      </c>
      <c r="G52" s="70">
        <v>34708.45</v>
      </c>
      <c r="H52" s="70"/>
    </row>
    <row r="53" spans="1:10">
      <c r="A53" s="70" t="s">
        <v>15</v>
      </c>
      <c r="B53" s="70" t="s">
        <v>32</v>
      </c>
      <c r="C53" s="70">
        <v>12</v>
      </c>
      <c r="D53" s="70">
        <v>308</v>
      </c>
      <c r="E53" s="70">
        <v>568</v>
      </c>
      <c r="F53" s="70">
        <v>76</v>
      </c>
      <c r="G53" s="70">
        <v>1252.46</v>
      </c>
      <c r="H53" s="70"/>
      <c r="I53" t="s">
        <v>65</v>
      </c>
      <c r="J53">
        <v>76</v>
      </c>
    </row>
    <row r="54" spans="1:10">
      <c r="A54" s="70" t="s">
        <v>16</v>
      </c>
      <c r="B54" s="70" t="s">
        <v>32</v>
      </c>
      <c r="C54" s="70">
        <v>12</v>
      </c>
      <c r="D54" s="70">
        <v>324</v>
      </c>
      <c r="E54" s="70">
        <v>2500</v>
      </c>
      <c r="F54" s="70">
        <v>38</v>
      </c>
      <c r="G54" s="70">
        <v>2899.48</v>
      </c>
      <c r="H54" s="70"/>
      <c r="I54" t="s">
        <v>65</v>
      </c>
      <c r="J54">
        <v>38</v>
      </c>
    </row>
    <row r="55" spans="1:10">
      <c r="A55" s="70" t="s">
        <v>17</v>
      </c>
      <c r="B55" s="70" t="s">
        <v>32</v>
      </c>
      <c r="C55" s="70">
        <v>12</v>
      </c>
      <c r="D55" s="70">
        <v>324</v>
      </c>
      <c r="E55" s="70">
        <v>400</v>
      </c>
      <c r="F55" s="70">
        <v>76</v>
      </c>
      <c r="G55" s="70">
        <v>927.83</v>
      </c>
      <c r="H55" s="70"/>
      <c r="I55" t="s">
        <v>65</v>
      </c>
      <c r="J55">
        <v>77</v>
      </c>
    </row>
    <row r="56" spans="1:8">
      <c r="A56" s="70" t="s">
        <v>18</v>
      </c>
      <c r="B56" s="70" t="s">
        <v>32</v>
      </c>
      <c r="C56" s="70">
        <v>16</v>
      </c>
      <c r="D56" s="70">
        <v>2500</v>
      </c>
      <c r="E56" s="70">
        <v>73495</v>
      </c>
      <c r="F56" s="70">
        <v>1</v>
      </c>
      <c r="G56" s="70">
        <v>23077.43</v>
      </c>
      <c r="H56" s="70"/>
    </row>
    <row r="57" spans="1:8">
      <c r="A57" s="70" t="s">
        <v>19</v>
      </c>
      <c r="B57" s="70" t="s">
        <v>32</v>
      </c>
      <c r="C57" s="70">
        <v>16</v>
      </c>
      <c r="D57" s="70">
        <v>482</v>
      </c>
      <c r="E57" s="70">
        <v>73495</v>
      </c>
      <c r="F57" s="70">
        <v>2</v>
      </c>
      <c r="G57" s="70">
        <v>8898.66</v>
      </c>
      <c r="H57" s="70"/>
    </row>
    <row r="58" spans="1:8">
      <c r="A58" s="70" t="s">
        <v>114</v>
      </c>
      <c r="B58" s="70"/>
      <c r="C58" s="70"/>
      <c r="D58" s="70"/>
      <c r="E58" s="70"/>
      <c r="F58" s="70"/>
      <c r="G58" s="70">
        <v>1.7</v>
      </c>
      <c r="H58" s="70"/>
    </row>
    <row r="59" spans="1:8">
      <c r="A59" s="70" t="s">
        <v>115</v>
      </c>
      <c r="B59" s="70"/>
      <c r="C59" s="70"/>
      <c r="D59" s="70"/>
      <c r="E59" s="70"/>
      <c r="F59" s="70"/>
      <c r="G59" s="70">
        <v>113.31</v>
      </c>
      <c r="H59" s="70"/>
    </row>
    <row r="60" spans="1:8">
      <c r="A60" s="70" t="s">
        <v>116</v>
      </c>
      <c r="B60" s="70"/>
      <c r="C60" s="70"/>
      <c r="D60" s="70"/>
      <c r="E60" s="70"/>
      <c r="F60" s="70"/>
      <c r="G60" s="70">
        <v>1.74</v>
      </c>
      <c r="H60" s="70"/>
    </row>
    <row r="61" spans="1:8">
      <c r="A61" s="70" t="s">
        <v>117</v>
      </c>
      <c r="B61" s="70"/>
      <c r="C61" s="70"/>
      <c r="D61" s="70"/>
      <c r="E61" s="70"/>
      <c r="F61" s="70"/>
      <c r="G61" s="70">
        <v>330.73</v>
      </c>
      <c r="H61" s="70"/>
    </row>
    <row r="62" spans="1:8">
      <c r="A62" s="70" t="s">
        <v>118</v>
      </c>
      <c r="B62" s="70"/>
      <c r="C62" s="70"/>
      <c r="D62" s="70"/>
      <c r="E62" s="70"/>
      <c r="F62" s="70"/>
      <c r="G62" s="70">
        <v>19.84</v>
      </c>
      <c r="H62" s="70"/>
    </row>
    <row r="63" spans="1:8">
      <c r="A63" s="70" t="s">
        <v>119</v>
      </c>
      <c r="B63" s="70"/>
      <c r="C63" s="70"/>
      <c r="D63" s="70"/>
      <c r="E63" s="70"/>
      <c r="F63" s="70"/>
      <c r="G63" s="70">
        <v>330.73</v>
      </c>
      <c r="H63" s="70"/>
    </row>
    <row r="64" spans="1:8">
      <c r="A64" s="70" t="s">
        <v>120</v>
      </c>
      <c r="B64" s="70"/>
      <c r="C64" s="70"/>
      <c r="D64" s="70"/>
      <c r="E64" s="70"/>
      <c r="F64" s="70"/>
      <c r="G64" s="70">
        <v>19.84</v>
      </c>
      <c r="H64" s="70"/>
    </row>
  </sheetData>
  <autoFilter ref="A1:J64">
    <extLst/>
  </autoFilter>
  <mergeCells count="52">
    <mergeCell ref="A10:F10"/>
    <mergeCell ref="A11:F11"/>
    <mergeCell ref="A12:F12"/>
    <mergeCell ref="A13:F13"/>
    <mergeCell ref="A14:F14"/>
    <mergeCell ref="A15:F15"/>
    <mergeCell ref="A16:F16"/>
    <mergeCell ref="A26:F26"/>
    <mergeCell ref="A27:F27"/>
    <mergeCell ref="A28:F28"/>
    <mergeCell ref="A29:F29"/>
    <mergeCell ref="A30:F30"/>
    <mergeCell ref="A31:F31"/>
    <mergeCell ref="A32:F32"/>
    <mergeCell ref="A42:F42"/>
    <mergeCell ref="A43:F43"/>
    <mergeCell ref="A44:F44"/>
    <mergeCell ref="A45:F45"/>
    <mergeCell ref="A46:F46"/>
    <mergeCell ref="A47:F47"/>
    <mergeCell ref="A48:F48"/>
    <mergeCell ref="A58:F58"/>
    <mergeCell ref="A59:F59"/>
    <mergeCell ref="A60:F60"/>
    <mergeCell ref="A61:F61"/>
    <mergeCell ref="A62:F62"/>
    <mergeCell ref="A63:F63"/>
    <mergeCell ref="A64:F64"/>
    <mergeCell ref="A1:A2"/>
    <mergeCell ref="A17:A18"/>
    <mergeCell ref="A33:A34"/>
    <mergeCell ref="A49:A50"/>
    <mergeCell ref="B1:B2"/>
    <mergeCell ref="B17:B18"/>
    <mergeCell ref="B33:B34"/>
    <mergeCell ref="B49:B50"/>
    <mergeCell ref="F1:F2"/>
    <mergeCell ref="F17:F18"/>
    <mergeCell ref="F33:F34"/>
    <mergeCell ref="F49:F50"/>
    <mergeCell ref="G1:G2"/>
    <mergeCell ref="G17:G18"/>
    <mergeCell ref="G33:G34"/>
    <mergeCell ref="G49:G50"/>
    <mergeCell ref="H1:H2"/>
    <mergeCell ref="H3:H16"/>
    <mergeCell ref="H17:H18"/>
    <mergeCell ref="H19:H32"/>
    <mergeCell ref="H33:H34"/>
    <mergeCell ref="H35:H48"/>
    <mergeCell ref="H49:H50"/>
    <mergeCell ref="H51:H64"/>
  </mergeCells>
  <pageMargins left="0.75" right="0.75" top="1" bottom="1" header="0.5" footer="0.5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8"/>
  <dimension ref="A1:W10"/>
  <sheetViews>
    <sheetView workbookViewId="0">
      <selection activeCell="O206" sqref="O206"/>
    </sheetView>
  </sheetViews>
  <sheetFormatPr defaultColWidth="9" defaultRowHeight="13.5"/>
  <cols>
    <col min="1" max="1" width="8.875" customWidth="1"/>
    <col min="2" max="2" width="3.375" customWidth="1"/>
    <col min="3" max="3" width="4.375" customWidth="1"/>
    <col min="4" max="5" width="5.375" customWidth="1"/>
    <col min="6" max="6" width="6.375" style="14" customWidth="1"/>
    <col min="7" max="7" width="7.25" customWidth="1"/>
    <col min="8" max="8" width="8.25" customWidth="1"/>
    <col min="9" max="9" width="6.25" customWidth="1"/>
    <col min="10" max="10" width="8.875" customWidth="1"/>
    <col min="11" max="11" width="9.375" customWidth="1"/>
    <col min="12" max="12" width="3.375" style="12" customWidth="1"/>
    <col min="13" max="13" width="5.375" style="12" customWidth="1"/>
    <col min="14" max="14" width="6.375" style="12" customWidth="1"/>
    <col min="15" max="15" width="5.125" customWidth="1"/>
    <col min="16" max="16" width="5.375" customWidth="1"/>
    <col min="17" max="17" width="3.375" customWidth="1"/>
    <col min="18" max="18" width="9.375" style="14" customWidth="1"/>
    <col min="19" max="19" width="8.375" style="14" customWidth="1"/>
  </cols>
  <sheetData>
    <row r="1" spans="7:15">
      <c r="G1" t="s">
        <v>152</v>
      </c>
      <c r="H1" s="130" t="s">
        <v>153</v>
      </c>
      <c r="I1" t="s">
        <v>154</v>
      </c>
      <c r="J1" t="s">
        <v>155</v>
      </c>
      <c r="L1" s="12" t="s">
        <v>156</v>
      </c>
      <c r="M1" s="12" t="s">
        <v>157</v>
      </c>
      <c r="N1" s="12" t="s">
        <v>158</v>
      </c>
      <c r="O1" t="s">
        <v>3</v>
      </c>
    </row>
    <row r="2" spans="1:19">
      <c r="A2" t="s">
        <v>15</v>
      </c>
      <c r="B2" s="70">
        <v>12</v>
      </c>
      <c r="C2" s="70">
        <v>308</v>
      </c>
      <c r="D2" s="70">
        <v>568</v>
      </c>
      <c r="E2" s="131">
        <f>B2*C2*D2/1000/1000</f>
        <v>2.099328</v>
      </c>
      <c r="F2" s="131">
        <f t="shared" ref="F2:F7" si="0">E2*7.85</f>
        <v>16.4797248</v>
      </c>
      <c r="G2">
        <f>新D栈道!F5+新D栈道!F21+新D栈道!F37+新D栈道!F53+新D栈道!F69+新D栈道!F85+新D栈道!F101+新D栈道!F117</f>
        <v>732</v>
      </c>
      <c r="H2">
        <f>'第11-17联 (汇总)'!F6+'第11-17联 (汇总)'!F16+'第11-17联 (汇总)'!F26+'第11-17联 (汇总)'!F36+'第11-17联 (汇总)'!F46+'第11-17联 (汇总)'!F56+'第11-17联 (汇总)'!F66</f>
        <v>674</v>
      </c>
      <c r="I2">
        <f>[1]Sheet2!$I$3+[1]Sheet2!$I$6+[1]Sheet2!$I$9+[1]Sheet2!$I$12</f>
        <v>399</v>
      </c>
      <c r="J2">
        <f t="shared" ref="J2:J7" si="1">G2+H2-I2</f>
        <v>1007</v>
      </c>
      <c r="K2" s="14">
        <f t="shared" ref="K2:K7" si="2">F2*J2</f>
        <v>16595.0828736</v>
      </c>
      <c r="L2" s="133">
        <f t="shared" ref="L2:L7" si="3">B2</f>
        <v>12</v>
      </c>
      <c r="M2" s="12">
        <v>1500</v>
      </c>
      <c r="N2" s="12">
        <v>7440</v>
      </c>
      <c r="O2">
        <v>16</v>
      </c>
      <c r="P2">
        <f>63*O2</f>
        <v>1008</v>
      </c>
      <c r="Q2">
        <f t="shared" ref="Q2:Q7" si="4">J2-P2</f>
        <v>-1</v>
      </c>
      <c r="R2" s="14">
        <f t="shared" ref="R2:R7" si="5">L2*M2*N2*O2*7.85/1000/1000</f>
        <v>16820.352</v>
      </c>
      <c r="S2" s="14">
        <f t="shared" ref="S2:S7" si="6">R2-K2</f>
        <v>225.269126399999</v>
      </c>
    </row>
    <row r="3" spans="1:19">
      <c r="A3" t="s">
        <v>17</v>
      </c>
      <c r="B3" s="70">
        <v>12</v>
      </c>
      <c r="C3" s="70">
        <f>324+16</f>
        <v>340</v>
      </c>
      <c r="D3" s="70">
        <v>400</v>
      </c>
      <c r="E3" s="131">
        <f>B3*C3*D3/1000/1000</f>
        <v>1.632</v>
      </c>
      <c r="F3" s="131">
        <f t="shared" si="0"/>
        <v>12.8112</v>
      </c>
      <c r="G3">
        <f>新D栈道!F7+新D栈道!F23+新D栈道!F39+新D栈道!F55+新D栈道!F71+新D栈道!F87+新D栈道!F103+新D栈道!F119</f>
        <v>732</v>
      </c>
      <c r="H3">
        <f>'第11-17联 (汇总)'!F8+'第11-17联 (汇总)'!F18+'第11-17联 (汇总)'!F28+'第11-17联 (汇总)'!F38+'第11-17联 (汇总)'!F48+'第11-17联 (汇总)'!F58+'第11-17联 (汇总)'!F68</f>
        <v>674</v>
      </c>
      <c r="I3">
        <f>[1]Sheet2!$I$4+[1]Sheet2!$I$7+[1]Sheet2!$I$10+[1]Sheet2!$I$13</f>
        <v>401</v>
      </c>
      <c r="J3">
        <f t="shared" si="1"/>
        <v>1005</v>
      </c>
      <c r="K3" s="14">
        <f t="shared" si="2"/>
        <v>12875.256</v>
      </c>
      <c r="L3" s="133">
        <f t="shared" si="3"/>
        <v>12</v>
      </c>
      <c r="M3" s="12">
        <v>1500</v>
      </c>
      <c r="N3" s="12">
        <v>6850</v>
      </c>
      <c r="O3">
        <v>13</v>
      </c>
      <c r="P3">
        <f>74*O3</f>
        <v>962</v>
      </c>
      <c r="Q3">
        <f t="shared" si="4"/>
        <v>43</v>
      </c>
      <c r="R3" s="14">
        <f t="shared" si="5"/>
        <v>12582.765</v>
      </c>
      <c r="S3" s="14">
        <f t="shared" si="6"/>
        <v>-292.491</v>
      </c>
    </row>
    <row r="4" spans="1:19">
      <c r="A4" t="s">
        <v>16</v>
      </c>
      <c r="B4" s="70">
        <v>12</v>
      </c>
      <c r="C4" s="70">
        <v>324</v>
      </c>
      <c r="D4" s="70">
        <v>2500</v>
      </c>
      <c r="E4" s="131">
        <f>B4*C4*D4/1000/1000</f>
        <v>9.72</v>
      </c>
      <c r="F4" s="131">
        <f t="shared" si="0"/>
        <v>76.302</v>
      </c>
      <c r="G4">
        <f>'第11-17联 (汇总)'!F7+'第11-17联 (汇总)'!F17+'第11-17联 (汇总)'!F27+'第11-17联 (汇总)'!F37+'第11-17联 (汇总)'!F47+'第11-17联 (汇总)'!F57+'第11-17联 (汇总)'!F67</f>
        <v>337</v>
      </c>
      <c r="H4">
        <f>新D栈道!F6+新D栈道!F22+新D栈道!F38+新D栈道!F54+新D栈道!F70+新D栈道!F86+新D栈道!F102+新D栈道!F118</f>
        <v>366</v>
      </c>
      <c r="I4">
        <f>旧D栈道!F6+旧D栈道!F22+旧D栈道!F38+旧D栈道!F54</f>
        <v>198</v>
      </c>
      <c r="J4">
        <f t="shared" si="1"/>
        <v>505</v>
      </c>
      <c r="K4" s="14">
        <f t="shared" si="2"/>
        <v>38532.51</v>
      </c>
      <c r="L4" s="133">
        <f t="shared" si="3"/>
        <v>12</v>
      </c>
      <c r="M4" s="12">
        <v>2000</v>
      </c>
      <c r="N4" s="12">
        <v>10020</v>
      </c>
      <c r="O4">
        <v>21</v>
      </c>
      <c r="P4">
        <f>24*O4</f>
        <v>504</v>
      </c>
      <c r="Q4">
        <f t="shared" si="4"/>
        <v>1</v>
      </c>
      <c r="R4" s="14">
        <f t="shared" si="5"/>
        <v>39643.128</v>
      </c>
      <c r="S4" s="14">
        <f t="shared" si="6"/>
        <v>1110.61799999999</v>
      </c>
    </row>
    <row r="5" spans="1:19">
      <c r="A5" s="70" t="s">
        <v>132</v>
      </c>
      <c r="B5" s="70">
        <v>16</v>
      </c>
      <c r="C5" s="70">
        <v>400</v>
      </c>
      <c r="D5" s="70">
        <v>400</v>
      </c>
      <c r="E5" s="131">
        <f>B5*C5*D5/1000/1000</f>
        <v>2.56</v>
      </c>
      <c r="F5" s="131">
        <f t="shared" si="0"/>
        <v>20.096</v>
      </c>
      <c r="G5">
        <f>新D栈道!F131+新D栈道!F138+新D栈道!F145+新D栈道!F152+新D栈道!F159+新D栈道!F166+新D栈道!F173+新D栈道!F180</f>
        <v>40</v>
      </c>
      <c r="H5">
        <f>'第11-17联 (汇总)'!F11+'第11-17联 (汇总)'!F21+'第11-17联 (汇总)'!F31+'第11-17联 (汇总)'!F41+'第11-17联 (汇总)'!F51+'第11-17联 (汇总)'!F61+'第11-17联 (汇总)'!F71</f>
        <v>37</v>
      </c>
      <c r="J5">
        <f t="shared" si="1"/>
        <v>77</v>
      </c>
      <c r="K5" s="14">
        <f t="shared" si="2"/>
        <v>1547.392</v>
      </c>
      <c r="L5" s="133">
        <f t="shared" si="3"/>
        <v>16</v>
      </c>
      <c r="M5" s="12">
        <v>2000</v>
      </c>
      <c r="N5" s="12">
        <v>6450</v>
      </c>
      <c r="O5">
        <v>1</v>
      </c>
      <c r="P5">
        <v>80</v>
      </c>
      <c r="Q5">
        <f t="shared" si="4"/>
        <v>-3</v>
      </c>
      <c r="R5" s="14">
        <f t="shared" si="5"/>
        <v>1620.24</v>
      </c>
      <c r="S5" s="14">
        <f t="shared" si="6"/>
        <v>72.848</v>
      </c>
    </row>
    <row r="6" ht="16.5" spans="1:23">
      <c r="A6" s="74" t="s">
        <v>137</v>
      </c>
      <c r="B6" s="74">
        <v>12</v>
      </c>
      <c r="C6" s="74">
        <v>178</v>
      </c>
      <c r="D6" s="74">
        <v>400</v>
      </c>
      <c r="E6" s="132">
        <f>B6*C6*D6/1000/1000</f>
        <v>0.8544</v>
      </c>
      <c r="F6" s="132">
        <f t="shared" si="0"/>
        <v>6.70704</v>
      </c>
      <c r="G6" s="58">
        <f>新D栈道!F132+新D栈道!F139+新D栈道!F146+新D栈道!F153+新D栈道!F160+新D栈道!F167+新D栈道!F174+新D栈道!F181</f>
        <v>40</v>
      </c>
      <c r="H6" s="58">
        <f>'第11-17联 (汇总)'!F12+'第11-17联 (汇总)'!F22+'第11-17联 (汇总)'!F32+'第11-17联 (汇总)'!F42+'第11-17联 (汇总)'!F52+'第11-17联 (汇总)'!F62+'第11-17联 (汇总)'!F72</f>
        <v>37</v>
      </c>
      <c r="I6" s="58"/>
      <c r="J6" s="58">
        <f t="shared" si="1"/>
        <v>77</v>
      </c>
      <c r="K6" s="134">
        <f t="shared" si="2"/>
        <v>516.44208</v>
      </c>
      <c r="L6" s="133">
        <f t="shared" si="3"/>
        <v>12</v>
      </c>
      <c r="M6" s="133">
        <v>1500</v>
      </c>
      <c r="N6" s="133">
        <v>9340</v>
      </c>
      <c r="O6" s="58">
        <v>1</v>
      </c>
      <c r="P6" s="58">
        <v>77</v>
      </c>
      <c r="Q6" s="58">
        <f t="shared" si="4"/>
        <v>0</v>
      </c>
      <c r="R6" s="134">
        <f t="shared" si="5"/>
        <v>1319.742</v>
      </c>
      <c r="S6" s="134">
        <f t="shared" si="6"/>
        <v>803.29992</v>
      </c>
      <c r="T6" s="6">
        <v>12</v>
      </c>
      <c r="U6" s="20">
        <v>2000</v>
      </c>
      <c r="V6" s="6">
        <v>11600</v>
      </c>
      <c r="W6" s="48">
        <v>1</v>
      </c>
    </row>
    <row r="7" ht="27" spans="1:19">
      <c r="A7" s="70" t="s">
        <v>138</v>
      </c>
      <c r="B7" s="70">
        <v>12</v>
      </c>
      <c r="C7" s="70">
        <v>381</v>
      </c>
      <c r="D7" s="70">
        <v>340</v>
      </c>
      <c r="E7" s="131">
        <f>B7*107976.1296/1000/1000</f>
        <v>1.2957135552</v>
      </c>
      <c r="F7" s="131">
        <f t="shared" si="0"/>
        <v>10.17135140832</v>
      </c>
      <c r="G7">
        <f>新D栈道!F133+新D栈道!F140+新D栈道!F147+新D栈道!F154+新D栈道!F161+新D栈道!F168+新D栈道!F175+新D栈道!F182</f>
        <v>80</v>
      </c>
      <c r="H7">
        <f>'第11-17联 (汇总)'!F13+'第11-17联 (汇总)'!F23+'第11-17联 (汇总)'!F33+'第11-17联 (汇总)'!F43+'第11-17联 (汇总)'!F53+'第11-17联 (汇总)'!F63+'第11-17联 (汇总)'!F73</f>
        <v>74</v>
      </c>
      <c r="J7">
        <f t="shared" si="1"/>
        <v>154</v>
      </c>
      <c r="K7" s="14">
        <f t="shared" si="2"/>
        <v>1566.38811688128</v>
      </c>
      <c r="L7" s="133">
        <f t="shared" si="3"/>
        <v>12</v>
      </c>
      <c r="M7" s="12">
        <v>2000</v>
      </c>
      <c r="N7" s="12">
        <v>8630</v>
      </c>
      <c r="O7">
        <v>1</v>
      </c>
      <c r="P7">
        <v>150</v>
      </c>
      <c r="Q7">
        <f t="shared" si="4"/>
        <v>4</v>
      </c>
      <c r="R7" s="14">
        <f t="shared" si="5"/>
        <v>1625.892</v>
      </c>
      <c r="S7" s="14">
        <f t="shared" si="6"/>
        <v>59.5038831187203</v>
      </c>
    </row>
    <row r="8" spans="9:12">
      <c r="I8">
        <v>392</v>
      </c>
      <c r="K8">
        <f>SUM(K2:K7)</f>
        <v>71633.0710704813</v>
      </c>
      <c r="L8" s="133"/>
    </row>
    <row r="9" spans="9:12">
      <c r="I9">
        <v>196</v>
      </c>
      <c r="K9">
        <v>2000</v>
      </c>
      <c r="L9" s="133"/>
    </row>
    <row r="10" spans="9:15">
      <c r="I10">
        <v>392</v>
      </c>
      <c r="L10" s="133">
        <v>12</v>
      </c>
      <c r="M10" s="12">
        <v>2000</v>
      </c>
      <c r="N10" s="12">
        <v>7530</v>
      </c>
      <c r="O10">
        <v>1</v>
      </c>
    </row>
  </sheetData>
  <pageMargins left="0.75" right="0.75" top="1" bottom="1" header="0.5" footer="0.5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9"/>
  <dimension ref="A1:V145"/>
  <sheetViews>
    <sheetView topLeftCell="J1" workbookViewId="0">
      <selection activeCell="S4" sqref="S4"/>
    </sheetView>
  </sheetViews>
  <sheetFormatPr defaultColWidth="9" defaultRowHeight="13.5"/>
  <cols>
    <col min="7" max="7" width="12.625"/>
  </cols>
  <sheetData>
    <row r="1" spans="1:14">
      <c r="A1">
        <v>1</v>
      </c>
      <c r="B1" t="s">
        <v>159</v>
      </c>
      <c r="C1">
        <v>10</v>
      </c>
      <c r="D1">
        <f>C1-1</f>
        <v>9</v>
      </c>
      <c r="E1" t="s">
        <v>160</v>
      </c>
      <c r="F1">
        <f>D18</f>
        <v>141</v>
      </c>
      <c r="G1">
        <f>18*7</f>
        <v>126</v>
      </c>
      <c r="H1">
        <f>F1-G1</f>
        <v>15</v>
      </c>
      <c r="I1">
        <v>16</v>
      </c>
      <c r="J1">
        <v>2000</v>
      </c>
      <c r="K1">
        <v>10830</v>
      </c>
      <c r="L1">
        <v>7</v>
      </c>
      <c r="N1" t="s">
        <v>161</v>
      </c>
    </row>
    <row r="2" spans="1:19">
      <c r="A2">
        <v>2</v>
      </c>
      <c r="B2" t="s">
        <v>162</v>
      </c>
      <c r="C2">
        <v>10</v>
      </c>
      <c r="D2">
        <f t="shared" ref="D2:D17" si="0">C2-1</f>
        <v>9</v>
      </c>
      <c r="I2">
        <v>16</v>
      </c>
      <c r="J2">
        <v>2000</v>
      </c>
      <c r="K2">
        <v>9030</v>
      </c>
      <c r="L2">
        <v>1</v>
      </c>
      <c r="M2" s="12" t="s">
        <v>163</v>
      </c>
      <c r="N2" s="129" t="s">
        <v>164</v>
      </c>
      <c r="O2">
        <v>0</v>
      </c>
      <c r="Q2">
        <v>558</v>
      </c>
      <c r="R2">
        <v>400</v>
      </c>
      <c r="S2">
        <v>2</v>
      </c>
    </row>
    <row r="3" spans="1:19">
      <c r="A3">
        <v>3</v>
      </c>
      <c r="B3" t="s">
        <v>165</v>
      </c>
      <c r="C3">
        <v>8</v>
      </c>
      <c r="D3">
        <f t="shared" si="0"/>
        <v>7</v>
      </c>
      <c r="M3" s="12" t="s">
        <v>166</v>
      </c>
      <c r="N3" s="129" t="s">
        <v>167</v>
      </c>
      <c r="O3" s="129">
        <v>0</v>
      </c>
      <c r="P3" s="129"/>
      <c r="Q3" s="129">
        <v>1255</v>
      </c>
      <c r="R3" s="129">
        <v>600</v>
      </c>
      <c r="S3" s="129">
        <v>1</v>
      </c>
    </row>
    <row r="4" spans="1:19">
      <c r="A4">
        <v>4</v>
      </c>
      <c r="B4" t="s">
        <v>168</v>
      </c>
      <c r="C4">
        <v>12</v>
      </c>
      <c r="D4">
        <f t="shared" si="0"/>
        <v>11</v>
      </c>
      <c r="E4" t="s">
        <v>167</v>
      </c>
      <c r="F4">
        <f>D18*2</f>
        <v>282</v>
      </c>
      <c r="G4">
        <f>24*11</f>
        <v>264</v>
      </c>
      <c r="H4">
        <f>F4-G4</f>
        <v>18</v>
      </c>
      <c r="I4">
        <v>16</v>
      </c>
      <c r="J4">
        <v>1800</v>
      </c>
      <c r="K4">
        <v>10070</v>
      </c>
      <c r="L4">
        <v>11</v>
      </c>
      <c r="M4" s="12"/>
      <c r="N4" s="129" t="s">
        <v>164</v>
      </c>
      <c r="O4" s="129">
        <v>0</v>
      </c>
      <c r="P4" s="129"/>
      <c r="Q4" s="129">
        <v>558</v>
      </c>
      <c r="R4" s="129">
        <v>400</v>
      </c>
      <c r="S4" s="129">
        <v>6</v>
      </c>
    </row>
    <row r="5" spans="1:19">
      <c r="A5">
        <v>7</v>
      </c>
      <c r="B5" t="s">
        <v>169</v>
      </c>
      <c r="C5">
        <v>11</v>
      </c>
      <c r="D5">
        <f t="shared" si="0"/>
        <v>10</v>
      </c>
      <c r="I5">
        <v>16</v>
      </c>
      <c r="J5">
        <v>1800</v>
      </c>
      <c r="K5">
        <v>7560</v>
      </c>
      <c r="L5">
        <v>1</v>
      </c>
      <c r="M5" s="12" t="s">
        <v>170</v>
      </c>
      <c r="N5" s="129" t="s">
        <v>167</v>
      </c>
      <c r="O5" s="129">
        <v>0</v>
      </c>
      <c r="P5" s="129"/>
      <c r="Q5" s="129">
        <v>1255</v>
      </c>
      <c r="R5" s="129">
        <v>600</v>
      </c>
      <c r="S5" s="129">
        <v>17</v>
      </c>
    </row>
    <row r="6" spans="1:19">
      <c r="A6">
        <v>8</v>
      </c>
      <c r="B6" t="s">
        <v>171</v>
      </c>
      <c r="C6">
        <v>12</v>
      </c>
      <c r="D6">
        <f t="shared" si="0"/>
        <v>11</v>
      </c>
      <c r="M6" s="12"/>
      <c r="N6" s="129" t="s">
        <v>160</v>
      </c>
      <c r="O6" s="129">
        <v>0</v>
      </c>
      <c r="P6" s="129"/>
      <c r="Q6" s="129">
        <v>1990</v>
      </c>
      <c r="R6" s="129">
        <v>600</v>
      </c>
      <c r="S6" s="129">
        <v>8</v>
      </c>
    </row>
    <row r="7" spans="1:19">
      <c r="A7">
        <v>9</v>
      </c>
      <c r="B7" t="s">
        <v>172</v>
      </c>
      <c r="C7">
        <v>11</v>
      </c>
      <c r="D7">
        <f t="shared" si="0"/>
        <v>10</v>
      </c>
      <c r="E7" t="s">
        <v>164</v>
      </c>
      <c r="F7">
        <f>F4</f>
        <v>282</v>
      </c>
      <c r="G7">
        <f>3*66</f>
        <v>198</v>
      </c>
      <c r="H7">
        <f>F7-G7</f>
        <v>84</v>
      </c>
      <c r="I7">
        <v>16</v>
      </c>
      <c r="J7">
        <v>1800</v>
      </c>
      <c r="K7">
        <v>8400</v>
      </c>
      <c r="L7">
        <v>3</v>
      </c>
      <c r="M7" s="12"/>
      <c r="N7" s="129" t="s">
        <v>164</v>
      </c>
      <c r="O7" s="129">
        <v>0</v>
      </c>
      <c r="P7" s="129"/>
      <c r="Q7" s="129">
        <v>558</v>
      </c>
      <c r="R7" s="129">
        <v>400</v>
      </c>
      <c r="S7" s="129">
        <v>11</v>
      </c>
    </row>
    <row r="8" spans="1:19">
      <c r="A8">
        <v>10</v>
      </c>
      <c r="B8" t="s">
        <v>173</v>
      </c>
      <c r="C8">
        <v>12</v>
      </c>
      <c r="D8">
        <f t="shared" si="0"/>
        <v>11</v>
      </c>
      <c r="I8">
        <v>16</v>
      </c>
      <c r="J8">
        <v>1800</v>
      </c>
      <c r="K8">
        <v>10830</v>
      </c>
      <c r="L8">
        <v>1</v>
      </c>
      <c r="M8" s="12" t="s">
        <v>174</v>
      </c>
      <c r="N8" s="129" t="s">
        <v>160</v>
      </c>
      <c r="O8" s="129">
        <v>0</v>
      </c>
      <c r="P8" s="129"/>
      <c r="Q8" s="129">
        <v>1990</v>
      </c>
      <c r="R8" s="129">
        <v>600</v>
      </c>
      <c r="S8" s="129">
        <v>0</v>
      </c>
    </row>
    <row r="9" spans="1:19">
      <c r="A9">
        <v>11</v>
      </c>
      <c r="B9" t="s">
        <v>175</v>
      </c>
      <c r="C9">
        <v>11</v>
      </c>
      <c r="D9">
        <f t="shared" si="0"/>
        <v>10</v>
      </c>
      <c r="M9" s="12"/>
      <c r="N9" s="129" t="s">
        <v>167</v>
      </c>
      <c r="O9" s="129">
        <v>0</v>
      </c>
      <c r="P9" s="129"/>
      <c r="Q9" s="129">
        <v>1255</v>
      </c>
      <c r="R9" s="129">
        <v>600</v>
      </c>
      <c r="S9" s="129">
        <v>0</v>
      </c>
    </row>
    <row r="10" spans="1:19">
      <c r="A10">
        <v>12</v>
      </c>
      <c r="B10" t="s">
        <v>176</v>
      </c>
      <c r="C10">
        <v>10</v>
      </c>
      <c r="D10">
        <f t="shared" si="0"/>
        <v>9</v>
      </c>
      <c r="M10" s="12"/>
      <c r="N10" s="129" t="s">
        <v>164</v>
      </c>
      <c r="O10" s="129">
        <v>0</v>
      </c>
      <c r="P10" s="129"/>
      <c r="Q10" s="129">
        <v>558</v>
      </c>
      <c r="R10" s="129">
        <v>400</v>
      </c>
      <c r="S10" s="129">
        <v>3</v>
      </c>
    </row>
    <row r="11" spans="1:19">
      <c r="A11">
        <v>13</v>
      </c>
      <c r="B11" t="s">
        <v>177</v>
      </c>
      <c r="C11">
        <v>8</v>
      </c>
      <c r="D11">
        <f t="shared" si="0"/>
        <v>7</v>
      </c>
      <c r="M11" s="12" t="s">
        <v>178</v>
      </c>
      <c r="N11" s="129" t="s">
        <v>160</v>
      </c>
      <c r="O11" s="129">
        <v>0</v>
      </c>
      <c r="P11" s="129"/>
      <c r="Q11" s="129">
        <v>1990</v>
      </c>
      <c r="R11" s="129">
        <v>600</v>
      </c>
      <c r="S11" s="129">
        <v>1</v>
      </c>
    </row>
    <row r="12" spans="1:19">
      <c r="A12">
        <v>14</v>
      </c>
      <c r="B12" t="s">
        <v>179</v>
      </c>
      <c r="C12">
        <v>8</v>
      </c>
      <c r="D12">
        <f t="shared" si="0"/>
        <v>7</v>
      </c>
      <c r="M12" s="12"/>
      <c r="N12" s="129" t="s">
        <v>167</v>
      </c>
      <c r="O12" s="129">
        <v>0</v>
      </c>
      <c r="P12" s="129"/>
      <c r="Q12" s="129">
        <v>1255</v>
      </c>
      <c r="R12" s="129">
        <v>600</v>
      </c>
      <c r="S12" s="129">
        <v>1</v>
      </c>
    </row>
    <row r="13" spans="1:19">
      <c r="A13">
        <v>15</v>
      </c>
      <c r="B13" t="s">
        <v>180</v>
      </c>
      <c r="C13">
        <v>7</v>
      </c>
      <c r="D13">
        <f t="shared" si="0"/>
        <v>6</v>
      </c>
      <c r="M13" s="12"/>
      <c r="N13" s="129" t="s">
        <v>164</v>
      </c>
      <c r="O13" s="129">
        <v>0</v>
      </c>
      <c r="P13" s="129"/>
      <c r="Q13" s="129">
        <v>558</v>
      </c>
      <c r="R13" s="129">
        <v>400</v>
      </c>
      <c r="S13" s="129">
        <v>3</v>
      </c>
    </row>
    <row r="14" spans="1:19">
      <c r="A14">
        <v>16</v>
      </c>
      <c r="B14" t="s">
        <v>181</v>
      </c>
      <c r="C14">
        <v>12</v>
      </c>
      <c r="D14">
        <f t="shared" si="0"/>
        <v>11</v>
      </c>
      <c r="M14" s="12" t="s">
        <v>182</v>
      </c>
      <c r="N14" s="129" t="s">
        <v>160</v>
      </c>
      <c r="O14" s="129">
        <v>0</v>
      </c>
      <c r="P14" s="129"/>
      <c r="Q14" s="129">
        <v>1990</v>
      </c>
      <c r="R14" s="129">
        <v>600</v>
      </c>
      <c r="S14" s="129">
        <v>1</v>
      </c>
    </row>
    <row r="15" spans="1:19">
      <c r="A15">
        <v>17</v>
      </c>
      <c r="B15" t="s">
        <v>183</v>
      </c>
      <c r="C15">
        <v>8</v>
      </c>
      <c r="D15">
        <f t="shared" si="0"/>
        <v>7</v>
      </c>
      <c r="M15" s="12"/>
      <c r="N15" s="129" t="s">
        <v>167</v>
      </c>
      <c r="O15" s="129">
        <v>0</v>
      </c>
      <c r="P15" s="129"/>
      <c r="Q15" s="129">
        <v>1255</v>
      </c>
      <c r="R15" s="129">
        <v>600</v>
      </c>
      <c r="S15" s="129">
        <v>1</v>
      </c>
    </row>
    <row r="16" spans="1:19">
      <c r="A16">
        <v>18</v>
      </c>
      <c r="B16" t="s">
        <v>184</v>
      </c>
      <c r="C16">
        <v>14</v>
      </c>
      <c r="D16">
        <f t="shared" si="0"/>
        <v>13</v>
      </c>
      <c r="M16" s="12"/>
      <c r="N16" s="129" t="s">
        <v>164</v>
      </c>
      <c r="O16" s="129">
        <v>0</v>
      </c>
      <c r="P16" s="129"/>
      <c r="Q16" s="129">
        <v>558</v>
      </c>
      <c r="R16" s="129">
        <v>400</v>
      </c>
      <c r="S16" s="129">
        <v>0</v>
      </c>
    </row>
    <row r="17" spans="2:19">
      <c r="B17" t="s">
        <v>185</v>
      </c>
      <c r="C17">
        <v>3</v>
      </c>
      <c r="D17">
        <f t="shared" si="0"/>
        <v>2</v>
      </c>
      <c r="M17" s="12" t="s">
        <v>186</v>
      </c>
      <c r="N17" s="129" t="s">
        <v>160</v>
      </c>
      <c r="O17" s="129">
        <v>0</v>
      </c>
      <c r="P17" s="129"/>
      <c r="Q17" s="129">
        <v>1990</v>
      </c>
      <c r="R17" s="129">
        <v>600</v>
      </c>
      <c r="S17" s="129">
        <v>0</v>
      </c>
    </row>
    <row r="18" spans="4:19">
      <c r="D18">
        <f>SUM(D2:D17)</f>
        <v>141</v>
      </c>
      <c r="M18" s="12"/>
      <c r="N18" s="129" t="s">
        <v>167</v>
      </c>
      <c r="O18" s="129">
        <v>0</v>
      </c>
      <c r="P18" s="129"/>
      <c r="Q18" s="129">
        <v>1255</v>
      </c>
      <c r="R18" s="129">
        <v>600</v>
      </c>
      <c r="S18" s="129">
        <v>0</v>
      </c>
    </row>
    <row r="19" spans="13:19">
      <c r="M19" s="12"/>
      <c r="N19" s="129" t="s">
        <v>164</v>
      </c>
      <c r="O19" s="129">
        <v>0</v>
      </c>
      <c r="P19" s="129"/>
      <c r="Q19" s="129">
        <v>558</v>
      </c>
      <c r="R19" s="129">
        <v>400</v>
      </c>
      <c r="S19" s="129">
        <v>14</v>
      </c>
    </row>
    <row r="20" spans="13:19">
      <c r="M20" s="12" t="s">
        <v>187</v>
      </c>
      <c r="N20" s="129" t="s">
        <v>160</v>
      </c>
      <c r="O20" s="129">
        <v>0</v>
      </c>
      <c r="P20" s="129"/>
      <c r="Q20" s="129">
        <v>1990</v>
      </c>
      <c r="R20" s="129">
        <v>600</v>
      </c>
      <c r="S20" s="129">
        <v>1</v>
      </c>
    </row>
    <row r="21" spans="13:19">
      <c r="M21" s="12"/>
      <c r="N21" s="129" t="s">
        <v>167</v>
      </c>
      <c r="O21" s="129">
        <v>0</v>
      </c>
      <c r="P21" s="129"/>
      <c r="Q21" s="129">
        <v>1255</v>
      </c>
      <c r="R21" s="129">
        <v>600</v>
      </c>
      <c r="S21" s="129">
        <v>0</v>
      </c>
    </row>
    <row r="22" spans="13:19">
      <c r="M22" s="12"/>
      <c r="N22" s="129" t="s">
        <v>164</v>
      </c>
      <c r="O22" s="129">
        <v>0</v>
      </c>
      <c r="P22" s="129"/>
      <c r="Q22" s="129">
        <v>558</v>
      </c>
      <c r="R22" s="129">
        <v>400</v>
      </c>
      <c r="S22" s="129">
        <v>0</v>
      </c>
    </row>
    <row r="23" spans="13:19">
      <c r="M23" s="12" t="s">
        <v>188</v>
      </c>
      <c r="N23" s="129" t="s">
        <v>160</v>
      </c>
      <c r="O23" s="129">
        <v>0</v>
      </c>
      <c r="P23" s="129"/>
      <c r="Q23" s="129">
        <v>1990</v>
      </c>
      <c r="R23" s="129">
        <v>600</v>
      </c>
      <c r="S23" s="129">
        <v>1</v>
      </c>
    </row>
    <row r="24" spans="13:19">
      <c r="M24" s="12"/>
      <c r="N24" s="129" t="s">
        <v>167</v>
      </c>
      <c r="O24" s="129">
        <v>0</v>
      </c>
      <c r="P24" s="129"/>
      <c r="Q24" s="129">
        <v>1255</v>
      </c>
      <c r="R24" s="129">
        <v>600</v>
      </c>
      <c r="S24" s="129">
        <v>0</v>
      </c>
    </row>
    <row r="25" spans="13:19">
      <c r="M25" s="12"/>
      <c r="N25" s="129" t="s">
        <v>164</v>
      </c>
      <c r="O25" s="129">
        <v>0</v>
      </c>
      <c r="P25" s="129"/>
      <c r="Q25" s="129">
        <v>558</v>
      </c>
      <c r="R25" s="129">
        <v>400</v>
      </c>
      <c r="S25" s="129">
        <v>0</v>
      </c>
    </row>
    <row r="26" spans="13:19">
      <c r="M26" s="12" t="s">
        <v>189</v>
      </c>
      <c r="N26" s="129" t="s">
        <v>160</v>
      </c>
      <c r="O26" s="129">
        <v>0</v>
      </c>
      <c r="P26" s="129"/>
      <c r="Q26" s="129">
        <v>1990</v>
      </c>
      <c r="R26" s="129">
        <v>600</v>
      </c>
      <c r="S26" s="129">
        <v>3</v>
      </c>
    </row>
    <row r="27" spans="13:19">
      <c r="M27" s="12"/>
      <c r="N27" s="129" t="s">
        <v>167</v>
      </c>
      <c r="O27" s="129">
        <v>0</v>
      </c>
      <c r="P27" s="129"/>
      <c r="Q27" s="129">
        <v>1255</v>
      </c>
      <c r="R27" s="129">
        <v>600</v>
      </c>
      <c r="S27" s="129">
        <v>2</v>
      </c>
    </row>
    <row r="28" spans="13:19">
      <c r="M28" s="12"/>
      <c r="N28" s="129" t="s">
        <v>164</v>
      </c>
      <c r="O28" s="129">
        <v>0</v>
      </c>
      <c r="P28" s="129"/>
      <c r="Q28" s="129">
        <v>558</v>
      </c>
      <c r="R28" s="129">
        <v>400</v>
      </c>
      <c r="S28" s="129">
        <v>12</v>
      </c>
    </row>
    <row r="29" spans="13:19">
      <c r="M29" s="12" t="s">
        <v>190</v>
      </c>
      <c r="N29" s="129" t="s">
        <v>160</v>
      </c>
      <c r="O29" s="129">
        <v>0</v>
      </c>
      <c r="P29" s="129"/>
      <c r="Q29" s="129">
        <v>1990</v>
      </c>
      <c r="R29" s="129">
        <v>600</v>
      </c>
      <c r="S29" s="129">
        <v>0</v>
      </c>
    </row>
    <row r="30" spans="13:19">
      <c r="M30" s="12"/>
      <c r="N30" s="129" t="s">
        <v>167</v>
      </c>
      <c r="O30" s="129">
        <v>0</v>
      </c>
      <c r="P30" s="129"/>
      <c r="Q30" s="129">
        <v>1255</v>
      </c>
      <c r="R30" s="129">
        <v>600</v>
      </c>
      <c r="S30" s="129">
        <v>1</v>
      </c>
    </row>
    <row r="31" spans="13:19">
      <c r="M31" s="12"/>
      <c r="N31" s="129" t="s">
        <v>164</v>
      </c>
      <c r="O31" s="129">
        <v>0</v>
      </c>
      <c r="P31" s="129"/>
      <c r="Q31" s="129">
        <v>558</v>
      </c>
      <c r="R31" s="129">
        <v>400</v>
      </c>
      <c r="S31" s="129">
        <v>1</v>
      </c>
    </row>
    <row r="32" spans="13:19">
      <c r="M32" s="12" t="s">
        <v>191</v>
      </c>
      <c r="N32" s="129" t="s">
        <v>160</v>
      </c>
      <c r="O32" s="129">
        <v>0</v>
      </c>
      <c r="P32" s="129"/>
      <c r="Q32" s="129">
        <v>1990</v>
      </c>
      <c r="R32" s="129">
        <v>600</v>
      </c>
      <c r="S32" s="129">
        <v>0</v>
      </c>
    </row>
    <row r="33" spans="13:19">
      <c r="M33" s="12"/>
      <c r="N33" s="129" t="s">
        <v>167</v>
      </c>
      <c r="O33" s="129">
        <v>0</v>
      </c>
      <c r="P33" s="129"/>
      <c r="Q33" s="129">
        <v>1255</v>
      </c>
      <c r="R33" s="129">
        <v>600</v>
      </c>
      <c r="S33" s="129">
        <v>0</v>
      </c>
    </row>
    <row r="34" spans="13:19">
      <c r="M34" s="12"/>
      <c r="N34" s="129" t="s">
        <v>164</v>
      </c>
      <c r="O34" s="129">
        <v>0</v>
      </c>
      <c r="P34" s="129"/>
      <c r="Q34" s="129">
        <v>558</v>
      </c>
      <c r="R34" s="129">
        <v>400</v>
      </c>
      <c r="S34" s="129">
        <v>5</v>
      </c>
    </row>
    <row r="35" spans="13:19">
      <c r="M35" s="12" t="s">
        <v>192</v>
      </c>
      <c r="N35" s="129" t="s">
        <v>160</v>
      </c>
      <c r="O35" s="129">
        <v>0</v>
      </c>
      <c r="P35" s="129"/>
      <c r="Q35" s="129">
        <v>1990</v>
      </c>
      <c r="R35" s="129">
        <v>600</v>
      </c>
      <c r="S35" s="129">
        <v>3</v>
      </c>
    </row>
    <row r="36" spans="13:19">
      <c r="M36" s="12"/>
      <c r="N36" s="129" t="s">
        <v>167</v>
      </c>
      <c r="O36" s="129">
        <v>0</v>
      </c>
      <c r="P36" s="129"/>
      <c r="Q36" s="129">
        <v>1255</v>
      </c>
      <c r="R36" s="129">
        <v>600</v>
      </c>
      <c r="S36" s="129">
        <v>0</v>
      </c>
    </row>
    <row r="37" spans="13:19">
      <c r="M37" s="12"/>
      <c r="N37" s="129" t="s">
        <v>164</v>
      </c>
      <c r="O37" s="129">
        <v>0</v>
      </c>
      <c r="P37" s="129"/>
      <c r="Q37" s="129">
        <v>558</v>
      </c>
      <c r="R37" s="129">
        <v>400</v>
      </c>
      <c r="S37" s="129">
        <v>0</v>
      </c>
    </row>
    <row r="38" spans="13:19">
      <c r="M38" s="12" t="s">
        <v>193</v>
      </c>
      <c r="N38" s="129" t="s">
        <v>160</v>
      </c>
      <c r="O38" s="129">
        <v>0</v>
      </c>
      <c r="P38" s="129"/>
      <c r="Q38" s="129">
        <v>1990</v>
      </c>
      <c r="R38" s="129">
        <v>600</v>
      </c>
      <c r="S38" s="129">
        <v>1</v>
      </c>
    </row>
    <row r="39" spans="13:19">
      <c r="M39" s="12"/>
      <c r="N39" s="129" t="s">
        <v>167</v>
      </c>
      <c r="O39" s="129">
        <v>0</v>
      </c>
      <c r="P39" s="129"/>
      <c r="Q39" s="129">
        <v>1255</v>
      </c>
      <c r="R39" s="129">
        <v>600</v>
      </c>
      <c r="S39" s="129">
        <v>0</v>
      </c>
    </row>
    <row r="40" spans="13:19">
      <c r="M40" s="12"/>
      <c r="N40" s="129" t="s">
        <v>164</v>
      </c>
      <c r="O40" s="129">
        <v>0</v>
      </c>
      <c r="P40" s="129"/>
      <c r="Q40" s="129">
        <v>558</v>
      </c>
      <c r="R40" s="129">
        <v>400</v>
      </c>
      <c r="S40" s="129">
        <v>1</v>
      </c>
    </row>
    <row r="41" spans="13:19">
      <c r="M41" s="12" t="s">
        <v>194</v>
      </c>
      <c r="N41" s="129" t="s">
        <v>160</v>
      </c>
      <c r="O41" s="129">
        <v>0</v>
      </c>
      <c r="P41" s="129"/>
      <c r="Q41" s="129">
        <v>1990</v>
      </c>
      <c r="R41" s="129">
        <v>600</v>
      </c>
      <c r="S41" s="129">
        <v>0</v>
      </c>
    </row>
    <row r="42" spans="13:19">
      <c r="M42" s="12"/>
      <c r="N42" s="129" t="s">
        <v>167</v>
      </c>
      <c r="O42" s="129">
        <v>0</v>
      </c>
      <c r="P42" s="129"/>
      <c r="Q42" s="129">
        <v>1255</v>
      </c>
      <c r="R42" s="129">
        <v>600</v>
      </c>
      <c r="S42" s="129">
        <v>1</v>
      </c>
    </row>
    <row r="43" spans="13:19">
      <c r="M43" s="12"/>
      <c r="N43" s="129" t="s">
        <v>164</v>
      </c>
      <c r="O43" s="129">
        <v>0</v>
      </c>
      <c r="P43" s="129"/>
      <c r="Q43" s="129">
        <v>558</v>
      </c>
      <c r="R43" s="129">
        <v>400</v>
      </c>
      <c r="S43" s="129">
        <v>4</v>
      </c>
    </row>
    <row r="44" spans="13:19">
      <c r="M44" s="12" t="s">
        <v>195</v>
      </c>
      <c r="N44" s="129" t="s">
        <v>160</v>
      </c>
      <c r="O44" s="129">
        <v>0</v>
      </c>
      <c r="P44" s="129"/>
      <c r="Q44" s="129">
        <v>1990</v>
      </c>
      <c r="R44" s="129">
        <v>600</v>
      </c>
      <c r="S44" s="129">
        <v>2</v>
      </c>
    </row>
    <row r="45" spans="13:19">
      <c r="M45" s="12"/>
      <c r="N45" s="129" t="s">
        <v>167</v>
      </c>
      <c r="O45" s="129">
        <v>0</v>
      </c>
      <c r="P45" s="129"/>
      <c r="Q45" s="129">
        <v>1255</v>
      </c>
      <c r="R45" s="129">
        <v>600</v>
      </c>
      <c r="S45" s="129">
        <v>0</v>
      </c>
    </row>
    <row r="46" spans="13:19">
      <c r="M46" s="12"/>
      <c r="N46" s="129" t="s">
        <v>164</v>
      </c>
      <c r="O46" s="129">
        <v>0</v>
      </c>
      <c r="P46" s="129"/>
      <c r="Q46" s="129">
        <v>558</v>
      </c>
      <c r="R46" s="129">
        <v>400</v>
      </c>
      <c r="S46" s="129">
        <v>0</v>
      </c>
    </row>
    <row r="47" spans="13:19">
      <c r="M47" s="12" t="s">
        <v>196</v>
      </c>
      <c r="N47" s="129" t="s">
        <v>160</v>
      </c>
      <c r="O47" s="129">
        <v>0</v>
      </c>
      <c r="P47" s="129"/>
      <c r="Q47" s="129">
        <v>1990</v>
      </c>
      <c r="R47" s="129">
        <v>600</v>
      </c>
      <c r="S47" s="129">
        <v>1</v>
      </c>
    </row>
    <row r="48" spans="13:19">
      <c r="M48" s="12"/>
      <c r="N48" s="129" t="s">
        <v>167</v>
      </c>
      <c r="O48" s="129">
        <v>0</v>
      </c>
      <c r="P48" s="129"/>
      <c r="Q48" s="129">
        <v>1255</v>
      </c>
      <c r="R48" s="129">
        <v>600</v>
      </c>
      <c r="S48" s="129">
        <v>0</v>
      </c>
    </row>
    <row r="49" spans="13:19">
      <c r="M49" s="12"/>
      <c r="N49" s="129" t="s">
        <v>164</v>
      </c>
      <c r="O49" s="129">
        <v>0</v>
      </c>
      <c r="P49" s="129"/>
      <c r="Q49" s="129">
        <v>558</v>
      </c>
      <c r="R49" s="129">
        <v>400</v>
      </c>
      <c r="S49" s="129">
        <v>5</v>
      </c>
    </row>
    <row r="50" spans="13:19">
      <c r="M50" s="12" t="s">
        <v>197</v>
      </c>
      <c r="N50" s="129" t="s">
        <v>160</v>
      </c>
      <c r="O50" s="129">
        <v>0</v>
      </c>
      <c r="P50" s="129"/>
      <c r="Q50" s="129">
        <v>1990</v>
      </c>
      <c r="R50" s="129">
        <v>600</v>
      </c>
      <c r="S50" s="129">
        <v>1</v>
      </c>
    </row>
    <row r="51" spans="13:19">
      <c r="M51" s="12"/>
      <c r="N51" s="129" t="s">
        <v>167</v>
      </c>
      <c r="O51" s="129">
        <v>0</v>
      </c>
      <c r="P51" s="129"/>
      <c r="Q51" s="129">
        <v>1255</v>
      </c>
      <c r="R51" s="129">
        <v>600</v>
      </c>
      <c r="S51" s="129">
        <v>0</v>
      </c>
    </row>
    <row r="52" spans="13:19">
      <c r="M52" s="12"/>
      <c r="N52" s="129" t="s">
        <v>164</v>
      </c>
      <c r="O52" s="129">
        <v>0</v>
      </c>
      <c r="P52" s="129"/>
      <c r="Q52" s="129">
        <v>558</v>
      </c>
      <c r="R52" s="129">
        <v>400</v>
      </c>
      <c r="S52" s="129">
        <v>4</v>
      </c>
    </row>
    <row r="53" spans="13:19">
      <c r="M53" s="12" t="s">
        <v>198</v>
      </c>
      <c r="N53" s="129" t="s">
        <v>160</v>
      </c>
      <c r="O53" s="129">
        <v>0</v>
      </c>
      <c r="P53" s="129"/>
      <c r="Q53" s="129">
        <v>1990</v>
      </c>
      <c r="R53" s="129">
        <v>600</v>
      </c>
      <c r="S53" s="129">
        <v>1</v>
      </c>
    </row>
    <row r="54" spans="13:19">
      <c r="M54" s="12"/>
      <c r="N54" s="129" t="s">
        <v>167</v>
      </c>
      <c r="O54" s="129">
        <v>0</v>
      </c>
      <c r="P54" s="129"/>
      <c r="Q54" s="129">
        <v>1255</v>
      </c>
      <c r="R54" s="129">
        <v>600</v>
      </c>
      <c r="S54" s="129">
        <v>0</v>
      </c>
    </row>
    <row r="55" spans="13:19">
      <c r="M55" s="12"/>
      <c r="N55" s="129" t="s">
        <v>164</v>
      </c>
      <c r="O55" s="129">
        <v>0</v>
      </c>
      <c r="P55" s="129"/>
      <c r="Q55" s="129">
        <v>558</v>
      </c>
      <c r="R55" s="129">
        <v>400</v>
      </c>
      <c r="S55" s="129">
        <v>0</v>
      </c>
    </row>
    <row r="56" spans="13:22">
      <c r="M56" s="12" t="s">
        <v>199</v>
      </c>
      <c r="N56" s="129" t="s">
        <v>160</v>
      </c>
      <c r="O56" s="129">
        <v>0</v>
      </c>
      <c r="P56" s="129"/>
      <c r="Q56" s="129">
        <v>1990</v>
      </c>
      <c r="R56" s="129">
        <v>600</v>
      </c>
      <c r="S56" s="129">
        <v>3</v>
      </c>
      <c r="T56">
        <v>482</v>
      </c>
      <c r="U56">
        <v>8025</v>
      </c>
      <c r="V56">
        <v>1</v>
      </c>
    </row>
    <row r="57" spans="13:19">
      <c r="M57" s="12"/>
      <c r="N57" s="129" t="s">
        <v>167</v>
      </c>
      <c r="O57" s="129">
        <v>0</v>
      </c>
      <c r="P57" s="129"/>
      <c r="Q57" s="129">
        <v>1255</v>
      </c>
      <c r="R57" s="129">
        <v>600</v>
      </c>
      <c r="S57" s="129">
        <v>1</v>
      </c>
    </row>
    <row r="58" spans="13:19">
      <c r="M58" s="12"/>
      <c r="N58" s="129" t="s">
        <v>164</v>
      </c>
      <c r="O58" s="129">
        <v>0</v>
      </c>
      <c r="P58" s="129"/>
      <c r="Q58" s="129">
        <v>558</v>
      </c>
      <c r="R58" s="129">
        <v>400</v>
      </c>
      <c r="S58" s="129">
        <v>5</v>
      </c>
    </row>
    <row r="59" spans="13:19">
      <c r="M59" s="12" t="s">
        <v>200</v>
      </c>
      <c r="N59" s="129" t="s">
        <v>160</v>
      </c>
      <c r="O59" s="129">
        <v>0</v>
      </c>
      <c r="P59" s="129"/>
      <c r="Q59" s="129">
        <v>1990</v>
      </c>
      <c r="R59" s="129">
        <v>600</v>
      </c>
      <c r="S59" s="129">
        <v>2</v>
      </c>
    </row>
    <row r="60" spans="13:19">
      <c r="M60" s="12"/>
      <c r="N60" s="129" t="s">
        <v>167</v>
      </c>
      <c r="O60" s="129">
        <v>0</v>
      </c>
      <c r="P60" s="129"/>
      <c r="Q60" s="129">
        <v>1255</v>
      </c>
      <c r="R60" s="129">
        <v>600</v>
      </c>
      <c r="S60" s="129">
        <v>0</v>
      </c>
    </row>
    <row r="61" spans="13:19">
      <c r="M61" s="12"/>
      <c r="N61" s="129" t="s">
        <v>164</v>
      </c>
      <c r="O61" s="129">
        <v>0</v>
      </c>
      <c r="P61" s="129"/>
      <c r="Q61" s="129">
        <v>558</v>
      </c>
      <c r="R61" s="129">
        <v>400</v>
      </c>
      <c r="S61" s="129">
        <v>5</v>
      </c>
    </row>
    <row r="62" spans="13:19">
      <c r="M62" s="12" t="s">
        <v>201</v>
      </c>
      <c r="N62" s="129" t="s">
        <v>160</v>
      </c>
      <c r="O62" s="129">
        <v>0</v>
      </c>
      <c r="P62" s="129"/>
      <c r="Q62" s="129">
        <v>1990</v>
      </c>
      <c r="R62" s="129">
        <v>600</v>
      </c>
      <c r="S62" s="129">
        <v>4</v>
      </c>
    </row>
    <row r="63" spans="13:19">
      <c r="M63" s="12"/>
      <c r="N63" s="129" t="s">
        <v>167</v>
      </c>
      <c r="O63" s="129">
        <v>0</v>
      </c>
      <c r="P63" s="129"/>
      <c r="Q63" s="129">
        <v>1255</v>
      </c>
      <c r="R63" s="129">
        <v>600</v>
      </c>
      <c r="S63" s="129">
        <v>0</v>
      </c>
    </row>
    <row r="64" spans="13:19">
      <c r="M64" s="12"/>
      <c r="N64" s="129" t="s">
        <v>164</v>
      </c>
      <c r="O64" s="129">
        <v>0</v>
      </c>
      <c r="P64" s="129"/>
      <c r="Q64" s="129">
        <v>558</v>
      </c>
      <c r="R64" s="129">
        <v>400</v>
      </c>
      <c r="S64" s="129">
        <v>0</v>
      </c>
    </row>
    <row r="65" spans="13:19">
      <c r="M65" s="12" t="s">
        <v>202</v>
      </c>
      <c r="N65" s="129" t="s">
        <v>160</v>
      </c>
      <c r="O65" s="129">
        <v>0</v>
      </c>
      <c r="P65" s="129"/>
      <c r="Q65" s="129">
        <v>1990</v>
      </c>
      <c r="R65" s="129">
        <v>600</v>
      </c>
      <c r="S65" s="129">
        <v>4</v>
      </c>
    </row>
    <row r="66" spans="13:19">
      <c r="M66" s="12"/>
      <c r="N66" s="129" t="s">
        <v>167</v>
      </c>
      <c r="O66" s="129">
        <v>0</v>
      </c>
      <c r="P66" s="129"/>
      <c r="Q66" s="129">
        <v>1255</v>
      </c>
      <c r="R66" s="129">
        <v>600</v>
      </c>
      <c r="S66" s="129">
        <v>0</v>
      </c>
    </row>
    <row r="67" spans="13:19">
      <c r="M67" s="12"/>
      <c r="N67" s="129" t="s">
        <v>164</v>
      </c>
      <c r="O67" s="129">
        <v>0</v>
      </c>
      <c r="P67" s="129"/>
      <c r="Q67" s="129">
        <v>558</v>
      </c>
      <c r="R67" s="129">
        <v>400</v>
      </c>
      <c r="S67" s="129">
        <v>3</v>
      </c>
    </row>
    <row r="68" spans="13:19">
      <c r="M68" s="12" t="s">
        <v>203</v>
      </c>
      <c r="N68" s="129" t="s">
        <v>160</v>
      </c>
      <c r="O68" s="129">
        <v>0</v>
      </c>
      <c r="P68" s="129"/>
      <c r="Q68" s="129">
        <v>1990</v>
      </c>
      <c r="R68" s="129">
        <v>600</v>
      </c>
      <c r="S68" s="129">
        <v>4</v>
      </c>
    </row>
    <row r="69" spans="13:19">
      <c r="M69" s="12"/>
      <c r="N69" s="129" t="s">
        <v>167</v>
      </c>
      <c r="O69" s="129">
        <v>0</v>
      </c>
      <c r="P69" s="129"/>
      <c r="Q69" s="129">
        <v>1255</v>
      </c>
      <c r="R69" s="129">
        <v>600</v>
      </c>
      <c r="S69" s="129">
        <v>0</v>
      </c>
    </row>
    <row r="70" spans="13:19">
      <c r="M70" s="12"/>
      <c r="N70" s="129" t="s">
        <v>164</v>
      </c>
      <c r="O70" s="129">
        <v>0</v>
      </c>
      <c r="P70" s="129"/>
      <c r="Q70" s="129">
        <v>558</v>
      </c>
      <c r="R70" s="129">
        <v>400</v>
      </c>
      <c r="S70" s="129">
        <v>5</v>
      </c>
    </row>
    <row r="71" spans="13:19">
      <c r="M71" s="12" t="s">
        <v>204</v>
      </c>
      <c r="N71" s="129" t="s">
        <v>160</v>
      </c>
      <c r="O71" s="129">
        <v>0</v>
      </c>
      <c r="P71" s="129"/>
      <c r="Q71" s="129">
        <v>1990</v>
      </c>
      <c r="R71" s="129">
        <v>600</v>
      </c>
      <c r="S71" s="129">
        <v>4</v>
      </c>
    </row>
    <row r="72" spans="13:19">
      <c r="M72" s="12"/>
      <c r="N72" s="129" t="s">
        <v>167</v>
      </c>
      <c r="O72" s="129">
        <v>0</v>
      </c>
      <c r="P72" s="129"/>
      <c r="Q72" s="129">
        <v>1255</v>
      </c>
      <c r="R72" s="129">
        <v>600</v>
      </c>
      <c r="S72" s="129">
        <v>1</v>
      </c>
    </row>
    <row r="73" spans="13:19">
      <c r="M73" s="12"/>
      <c r="N73" s="129" t="s">
        <v>164</v>
      </c>
      <c r="O73" s="129">
        <v>0</v>
      </c>
      <c r="P73" s="129"/>
      <c r="Q73" s="129">
        <v>558</v>
      </c>
      <c r="R73" s="129">
        <v>400</v>
      </c>
      <c r="S73" s="129">
        <v>0</v>
      </c>
    </row>
    <row r="74" spans="13:19">
      <c r="M74" s="12" t="s">
        <v>205</v>
      </c>
      <c r="N74" s="129" t="s">
        <v>160</v>
      </c>
      <c r="O74" s="129">
        <v>0</v>
      </c>
      <c r="P74" s="129"/>
      <c r="Q74" s="129">
        <v>1990</v>
      </c>
      <c r="R74" s="129">
        <v>600</v>
      </c>
      <c r="S74" s="129">
        <v>0</v>
      </c>
    </row>
    <row r="75" spans="13:19">
      <c r="M75" s="12"/>
      <c r="N75" s="129" t="s">
        <v>167</v>
      </c>
      <c r="O75" s="129">
        <v>0</v>
      </c>
      <c r="P75" s="129"/>
      <c r="Q75" s="129">
        <v>1255</v>
      </c>
      <c r="R75" s="129">
        <v>600</v>
      </c>
      <c r="S75" s="129">
        <v>0</v>
      </c>
    </row>
    <row r="76" spans="13:19">
      <c r="M76" s="12"/>
      <c r="N76" s="129" t="s">
        <v>164</v>
      </c>
      <c r="O76" s="129">
        <v>0</v>
      </c>
      <c r="P76" s="129"/>
      <c r="Q76" s="129">
        <v>558</v>
      </c>
      <c r="R76" s="129">
        <v>400</v>
      </c>
      <c r="S76" s="129">
        <v>17</v>
      </c>
    </row>
    <row r="77" spans="13:19">
      <c r="M77" s="12" t="s">
        <v>206</v>
      </c>
      <c r="N77" s="129" t="s">
        <v>160</v>
      </c>
      <c r="O77" s="129">
        <v>0</v>
      </c>
      <c r="P77" s="129"/>
      <c r="Q77" s="129">
        <v>1990</v>
      </c>
      <c r="R77" s="129">
        <v>600</v>
      </c>
      <c r="S77" s="129">
        <v>1</v>
      </c>
    </row>
    <row r="78" spans="13:19">
      <c r="M78" s="12"/>
      <c r="N78" s="129" t="s">
        <v>167</v>
      </c>
      <c r="O78" s="129">
        <v>0</v>
      </c>
      <c r="P78" s="129"/>
      <c r="Q78" s="129">
        <v>1255</v>
      </c>
      <c r="R78" s="129">
        <v>600</v>
      </c>
      <c r="S78" s="129">
        <v>2</v>
      </c>
    </row>
    <row r="79" spans="13:19">
      <c r="M79" s="12"/>
      <c r="N79" s="129" t="s">
        <v>164</v>
      </c>
      <c r="O79" s="129">
        <v>0</v>
      </c>
      <c r="P79" s="129"/>
      <c r="Q79" s="129">
        <v>558</v>
      </c>
      <c r="R79" s="129">
        <v>400</v>
      </c>
      <c r="S79" s="129">
        <v>1</v>
      </c>
    </row>
    <row r="80" spans="13:13">
      <c r="M80" s="12" t="s">
        <v>207</v>
      </c>
    </row>
    <row r="81" spans="13:13">
      <c r="M81" s="12"/>
    </row>
    <row r="82" spans="13:13">
      <c r="M82" s="12"/>
    </row>
    <row r="83" spans="13:19">
      <c r="M83" s="12" t="s">
        <v>208</v>
      </c>
      <c r="N83" s="129" t="s">
        <v>160</v>
      </c>
      <c r="O83" s="129">
        <v>0</v>
      </c>
      <c r="P83" s="129"/>
      <c r="Q83" s="129">
        <v>1990</v>
      </c>
      <c r="R83" s="129">
        <v>600</v>
      </c>
      <c r="S83" s="129">
        <v>0</v>
      </c>
    </row>
    <row r="84" spans="13:19">
      <c r="M84" s="12"/>
      <c r="N84" s="129" t="s">
        <v>167</v>
      </c>
      <c r="O84" s="129">
        <v>0</v>
      </c>
      <c r="P84" s="129"/>
      <c r="Q84" s="129">
        <v>1255</v>
      </c>
      <c r="R84" s="129">
        <v>600</v>
      </c>
      <c r="S84" s="129">
        <v>1</v>
      </c>
    </row>
    <row r="85" spans="13:19">
      <c r="M85" s="12"/>
      <c r="N85" s="129" t="s">
        <v>164</v>
      </c>
      <c r="O85" s="129">
        <v>0</v>
      </c>
      <c r="P85" s="129"/>
      <c r="Q85" s="129">
        <v>558</v>
      </c>
      <c r="R85" s="129">
        <v>400</v>
      </c>
      <c r="S85" s="129">
        <v>1</v>
      </c>
    </row>
    <row r="86" spans="13:19">
      <c r="M86" s="12" t="s">
        <v>209</v>
      </c>
      <c r="N86" s="129" t="s">
        <v>160</v>
      </c>
      <c r="O86" s="129">
        <v>0</v>
      </c>
      <c r="P86" s="129"/>
      <c r="Q86" s="129">
        <v>1990</v>
      </c>
      <c r="R86" s="129">
        <v>600</v>
      </c>
      <c r="S86" s="129">
        <v>0</v>
      </c>
    </row>
    <row r="87" spans="13:19">
      <c r="M87" s="12"/>
      <c r="N87" s="129" t="s">
        <v>167</v>
      </c>
      <c r="O87" s="129">
        <v>0</v>
      </c>
      <c r="P87" s="129"/>
      <c r="Q87" s="129">
        <v>1255</v>
      </c>
      <c r="R87" s="129">
        <v>600</v>
      </c>
      <c r="S87" s="129">
        <v>1</v>
      </c>
    </row>
    <row r="88" spans="13:19">
      <c r="M88" s="12"/>
      <c r="N88" s="129" t="s">
        <v>164</v>
      </c>
      <c r="O88" s="129">
        <v>0</v>
      </c>
      <c r="P88" s="129"/>
      <c r="Q88" s="129">
        <v>558</v>
      </c>
      <c r="R88" s="129">
        <v>400</v>
      </c>
      <c r="S88" s="129">
        <v>1</v>
      </c>
    </row>
    <row r="89" spans="13:19">
      <c r="M89" s="12" t="s">
        <v>210</v>
      </c>
      <c r="N89" s="129" t="s">
        <v>160</v>
      </c>
      <c r="O89" s="129">
        <v>0</v>
      </c>
      <c r="P89" s="129"/>
      <c r="Q89" s="129">
        <v>1990</v>
      </c>
      <c r="R89" s="129">
        <v>600</v>
      </c>
      <c r="S89" s="129">
        <v>3</v>
      </c>
    </row>
    <row r="90" spans="13:19">
      <c r="M90" s="12"/>
      <c r="N90" s="129" t="s">
        <v>167</v>
      </c>
      <c r="O90" s="129">
        <v>0</v>
      </c>
      <c r="P90" s="129"/>
      <c r="Q90" s="129">
        <v>1255</v>
      </c>
      <c r="R90" s="129">
        <v>600</v>
      </c>
      <c r="S90" s="129">
        <v>1</v>
      </c>
    </row>
    <row r="91" spans="13:19">
      <c r="M91" s="12"/>
      <c r="N91" s="129" t="s">
        <v>164</v>
      </c>
      <c r="O91" s="129">
        <v>0</v>
      </c>
      <c r="P91" s="129"/>
      <c r="Q91" s="129">
        <v>558</v>
      </c>
      <c r="R91" s="129">
        <v>400</v>
      </c>
      <c r="S91" s="129">
        <v>0</v>
      </c>
    </row>
    <row r="92" spans="13:19">
      <c r="M92" s="12" t="s">
        <v>211</v>
      </c>
      <c r="N92" s="129" t="s">
        <v>160</v>
      </c>
      <c r="O92" s="129">
        <v>0</v>
      </c>
      <c r="P92" s="129"/>
      <c r="Q92" s="129">
        <v>1990</v>
      </c>
      <c r="R92" s="129">
        <v>600</v>
      </c>
      <c r="S92" s="129">
        <v>2</v>
      </c>
    </row>
    <row r="93" spans="13:19">
      <c r="M93" s="12"/>
      <c r="N93" s="129" t="s">
        <v>167</v>
      </c>
      <c r="O93" s="129">
        <v>0</v>
      </c>
      <c r="P93" s="129"/>
      <c r="Q93" s="129">
        <v>1255</v>
      </c>
      <c r="R93" s="129">
        <v>600</v>
      </c>
      <c r="S93" s="129">
        <v>0</v>
      </c>
    </row>
    <row r="94" spans="13:19">
      <c r="M94" s="12"/>
      <c r="N94" s="129" t="s">
        <v>164</v>
      </c>
      <c r="O94" s="129">
        <v>0</v>
      </c>
      <c r="P94" s="129"/>
      <c r="Q94" s="129">
        <v>558</v>
      </c>
      <c r="R94" s="129">
        <v>400</v>
      </c>
      <c r="S94" s="129">
        <v>2</v>
      </c>
    </row>
    <row r="95" spans="13:13">
      <c r="M95" s="12" t="s">
        <v>212</v>
      </c>
    </row>
    <row r="96" spans="13:13">
      <c r="M96" s="12"/>
    </row>
    <row r="97" spans="13:13">
      <c r="M97" s="12"/>
    </row>
    <row r="98" spans="13:19">
      <c r="M98" s="12" t="s">
        <v>213</v>
      </c>
      <c r="N98" s="129" t="s">
        <v>160</v>
      </c>
      <c r="O98" s="129">
        <v>0</v>
      </c>
      <c r="P98" s="129"/>
      <c r="Q98" s="129">
        <v>1990</v>
      </c>
      <c r="R98" s="129">
        <v>600</v>
      </c>
      <c r="S98" s="129">
        <v>1</v>
      </c>
    </row>
    <row r="99" spans="13:19">
      <c r="M99" s="12"/>
      <c r="N99" s="129" t="s">
        <v>167</v>
      </c>
      <c r="O99" s="129">
        <v>0</v>
      </c>
      <c r="P99" s="129"/>
      <c r="Q99" s="129">
        <v>1255</v>
      </c>
      <c r="R99" s="129">
        <v>600</v>
      </c>
      <c r="S99" s="129">
        <v>0</v>
      </c>
    </row>
    <row r="100" spans="13:19">
      <c r="M100" s="12"/>
      <c r="N100" s="129" t="s">
        <v>164</v>
      </c>
      <c r="O100" s="129">
        <v>0</v>
      </c>
      <c r="P100" s="129"/>
      <c r="Q100" s="129">
        <v>558</v>
      </c>
      <c r="R100" s="129">
        <v>400</v>
      </c>
      <c r="S100" s="129">
        <v>4</v>
      </c>
    </row>
    <row r="101" spans="13:19">
      <c r="M101" s="12" t="s">
        <v>214</v>
      </c>
      <c r="N101" s="129" t="s">
        <v>160</v>
      </c>
      <c r="O101" s="129">
        <v>0</v>
      </c>
      <c r="P101" s="129"/>
      <c r="Q101" s="129">
        <v>1990</v>
      </c>
      <c r="R101" s="129">
        <v>600</v>
      </c>
      <c r="S101" s="129">
        <v>1</v>
      </c>
    </row>
    <row r="102" spans="13:19">
      <c r="M102" s="12"/>
      <c r="N102" s="129" t="s">
        <v>167</v>
      </c>
      <c r="O102" s="129">
        <v>0</v>
      </c>
      <c r="P102" s="129"/>
      <c r="Q102" s="129">
        <v>1255</v>
      </c>
      <c r="R102" s="129">
        <v>600</v>
      </c>
      <c r="S102" s="129">
        <v>0</v>
      </c>
    </row>
    <row r="103" spans="13:19">
      <c r="M103" s="12"/>
      <c r="N103" s="129" t="s">
        <v>164</v>
      </c>
      <c r="O103" s="129">
        <v>0</v>
      </c>
      <c r="P103" s="129"/>
      <c r="Q103" s="129">
        <v>558</v>
      </c>
      <c r="R103" s="129">
        <v>400</v>
      </c>
      <c r="S103" s="129">
        <v>3</v>
      </c>
    </row>
    <row r="104" spans="13:19">
      <c r="M104" s="12" t="s">
        <v>215</v>
      </c>
      <c r="N104" s="129" t="s">
        <v>160</v>
      </c>
      <c r="O104" s="129">
        <v>0</v>
      </c>
      <c r="P104" s="129"/>
      <c r="Q104" s="129">
        <v>1990</v>
      </c>
      <c r="R104" s="129">
        <v>600</v>
      </c>
      <c r="S104" s="129">
        <v>1</v>
      </c>
    </row>
    <row r="105" spans="13:19">
      <c r="M105" s="12"/>
      <c r="N105" s="129" t="s">
        <v>167</v>
      </c>
      <c r="O105" s="129">
        <v>0</v>
      </c>
      <c r="P105" s="129"/>
      <c r="Q105" s="129">
        <v>1255</v>
      </c>
      <c r="R105" s="129">
        <v>600</v>
      </c>
      <c r="S105" s="129">
        <v>2</v>
      </c>
    </row>
    <row r="106" spans="13:19">
      <c r="M106" s="12"/>
      <c r="N106" s="129" t="s">
        <v>164</v>
      </c>
      <c r="O106" s="129">
        <v>0</v>
      </c>
      <c r="P106" s="129"/>
      <c r="Q106" s="129">
        <v>558</v>
      </c>
      <c r="R106" s="129">
        <v>400</v>
      </c>
      <c r="S106" s="129">
        <v>0</v>
      </c>
    </row>
    <row r="107" spans="13:13">
      <c r="M107" s="12" t="s">
        <v>216</v>
      </c>
    </row>
    <row r="108" spans="13:13">
      <c r="M108" s="12"/>
    </row>
    <row r="109" spans="13:13">
      <c r="M109" s="12"/>
    </row>
    <row r="110" spans="13:22">
      <c r="M110" s="12" t="s">
        <v>217</v>
      </c>
      <c r="N110" s="129" t="s">
        <v>160</v>
      </c>
      <c r="O110" s="129">
        <v>0</v>
      </c>
      <c r="P110" s="129"/>
      <c r="Q110" s="129">
        <v>1990</v>
      </c>
      <c r="R110" s="129">
        <v>600</v>
      </c>
      <c r="S110" s="129">
        <v>0</v>
      </c>
      <c r="T110" s="129">
        <v>482</v>
      </c>
      <c r="U110" s="129">
        <v>9995</v>
      </c>
      <c r="V110" s="129">
        <v>1</v>
      </c>
    </row>
    <row r="111" spans="13:19">
      <c r="M111" s="12"/>
      <c r="N111" s="129" t="s">
        <v>167</v>
      </c>
      <c r="O111" s="129">
        <v>0</v>
      </c>
      <c r="P111" s="129"/>
      <c r="Q111" s="129">
        <v>1255</v>
      </c>
      <c r="R111" s="129">
        <v>600</v>
      </c>
      <c r="S111" s="129">
        <v>0</v>
      </c>
    </row>
    <row r="112" spans="13:19">
      <c r="M112" s="12"/>
      <c r="N112" s="129" t="s">
        <v>164</v>
      </c>
      <c r="O112" s="129">
        <v>0</v>
      </c>
      <c r="P112" s="129"/>
      <c r="Q112" s="129">
        <v>558</v>
      </c>
      <c r="R112" s="129">
        <v>400</v>
      </c>
      <c r="S112" s="129">
        <v>28</v>
      </c>
    </row>
    <row r="113" spans="13:19">
      <c r="M113" s="12" t="s">
        <v>218</v>
      </c>
      <c r="N113" s="129" t="s">
        <v>160</v>
      </c>
      <c r="O113" s="129">
        <v>0</v>
      </c>
      <c r="P113" s="129"/>
      <c r="Q113" s="129">
        <v>1990</v>
      </c>
      <c r="R113" s="129">
        <v>600</v>
      </c>
      <c r="S113" s="129">
        <v>0</v>
      </c>
    </row>
    <row r="114" spans="13:19">
      <c r="M114" s="12"/>
      <c r="N114" s="129" t="s">
        <v>167</v>
      </c>
      <c r="O114" s="129">
        <v>0</v>
      </c>
      <c r="P114" s="129"/>
      <c r="Q114" s="129">
        <v>1255</v>
      </c>
      <c r="R114" s="129">
        <v>600</v>
      </c>
      <c r="S114" s="129">
        <v>0</v>
      </c>
    </row>
    <row r="115" spans="13:22">
      <c r="M115" s="12"/>
      <c r="N115" s="129" t="s">
        <v>164</v>
      </c>
      <c r="O115" s="129">
        <v>0</v>
      </c>
      <c r="P115" s="129"/>
      <c r="Q115" s="129">
        <v>558</v>
      </c>
      <c r="R115" s="129">
        <v>400</v>
      </c>
      <c r="S115" s="129">
        <v>24</v>
      </c>
      <c r="T115" s="129">
        <v>340</v>
      </c>
      <c r="U115" s="129">
        <v>9795</v>
      </c>
      <c r="V115" s="129">
        <v>1</v>
      </c>
    </row>
    <row r="116" spans="13:19">
      <c r="M116" s="12" t="s">
        <v>219</v>
      </c>
      <c r="N116" s="129" t="s">
        <v>160</v>
      </c>
      <c r="O116" s="129">
        <v>0</v>
      </c>
      <c r="P116" s="129"/>
      <c r="Q116" s="129">
        <v>1990</v>
      </c>
      <c r="R116" s="129">
        <v>600</v>
      </c>
      <c r="S116" s="129">
        <v>1</v>
      </c>
    </row>
    <row r="117" spans="13:19">
      <c r="M117" s="12"/>
      <c r="N117" s="129" t="s">
        <v>167</v>
      </c>
      <c r="O117" s="129">
        <v>0</v>
      </c>
      <c r="P117" s="129"/>
      <c r="Q117" s="129">
        <v>1255</v>
      </c>
      <c r="R117" s="129">
        <v>600</v>
      </c>
      <c r="S117" s="129">
        <v>0</v>
      </c>
    </row>
    <row r="118" spans="13:19">
      <c r="M118" s="12"/>
      <c r="N118" s="129" t="s">
        <v>164</v>
      </c>
      <c r="O118" s="129">
        <v>0</v>
      </c>
      <c r="P118" s="129"/>
      <c r="Q118" s="129">
        <v>558</v>
      </c>
      <c r="R118" s="129">
        <v>400</v>
      </c>
      <c r="S118" s="129">
        <v>3</v>
      </c>
    </row>
    <row r="119" spans="13:19">
      <c r="M119" s="12" t="s">
        <v>220</v>
      </c>
      <c r="N119" s="129" t="s">
        <v>160</v>
      </c>
      <c r="O119" s="129">
        <v>0</v>
      </c>
      <c r="P119" s="129"/>
      <c r="Q119" s="129">
        <v>1990</v>
      </c>
      <c r="R119" s="129">
        <v>600</v>
      </c>
      <c r="S119" s="129">
        <v>0</v>
      </c>
    </row>
    <row r="120" spans="13:19">
      <c r="M120" s="12"/>
      <c r="N120" s="129" t="s">
        <v>167</v>
      </c>
      <c r="O120" s="129">
        <v>0</v>
      </c>
      <c r="P120" s="129"/>
      <c r="Q120" s="129">
        <v>1255</v>
      </c>
      <c r="R120" s="129">
        <v>600</v>
      </c>
      <c r="S120" s="129">
        <v>0</v>
      </c>
    </row>
    <row r="121" spans="13:19">
      <c r="M121" s="12"/>
      <c r="N121" s="129" t="s">
        <v>164</v>
      </c>
      <c r="O121" s="129">
        <v>0</v>
      </c>
      <c r="P121" s="129"/>
      <c r="Q121" s="129">
        <v>558</v>
      </c>
      <c r="R121" s="129">
        <v>400</v>
      </c>
      <c r="S121" s="129">
        <v>6</v>
      </c>
    </row>
    <row r="122" spans="13:19">
      <c r="M122" s="12" t="s">
        <v>221</v>
      </c>
      <c r="N122" s="129" t="s">
        <v>160</v>
      </c>
      <c r="O122" s="129">
        <v>0</v>
      </c>
      <c r="P122" s="129"/>
      <c r="Q122" s="129">
        <v>1990</v>
      </c>
      <c r="R122" s="129">
        <v>600</v>
      </c>
      <c r="S122" s="129">
        <v>0</v>
      </c>
    </row>
    <row r="123" spans="13:19">
      <c r="M123" s="12"/>
      <c r="N123" s="129" t="s">
        <v>167</v>
      </c>
      <c r="O123" s="129">
        <v>0</v>
      </c>
      <c r="P123" s="129"/>
      <c r="Q123" s="129">
        <v>1255</v>
      </c>
      <c r="R123" s="129">
        <v>600</v>
      </c>
      <c r="S123" s="129">
        <v>1</v>
      </c>
    </row>
    <row r="124" spans="13:19">
      <c r="M124" s="12"/>
      <c r="N124" s="129" t="s">
        <v>164</v>
      </c>
      <c r="O124" s="129">
        <v>0</v>
      </c>
      <c r="P124" s="129"/>
      <c r="Q124" s="129">
        <v>558</v>
      </c>
      <c r="R124" s="129">
        <v>400</v>
      </c>
      <c r="S124" s="129">
        <v>5</v>
      </c>
    </row>
    <row r="125" spans="13:19">
      <c r="M125" s="12" t="s">
        <v>222</v>
      </c>
      <c r="N125" s="129" t="s">
        <v>160</v>
      </c>
      <c r="O125" s="129">
        <v>0</v>
      </c>
      <c r="P125" s="129"/>
      <c r="Q125" s="129">
        <v>1990</v>
      </c>
      <c r="R125" s="129">
        <v>600</v>
      </c>
      <c r="S125" s="129">
        <v>0</v>
      </c>
    </row>
    <row r="126" spans="13:19">
      <c r="M126" s="12"/>
      <c r="N126" s="129" t="s">
        <v>167</v>
      </c>
      <c r="O126" s="129">
        <v>0</v>
      </c>
      <c r="P126" s="129"/>
      <c r="Q126" s="129">
        <v>1255</v>
      </c>
      <c r="R126" s="129">
        <v>600</v>
      </c>
      <c r="S126" s="129">
        <v>0</v>
      </c>
    </row>
    <row r="127" spans="13:19">
      <c r="M127" s="12"/>
      <c r="N127" s="129" t="s">
        <v>164</v>
      </c>
      <c r="O127" s="129">
        <v>0</v>
      </c>
      <c r="P127" s="129"/>
      <c r="Q127" s="129">
        <v>558</v>
      </c>
      <c r="R127" s="129">
        <v>400</v>
      </c>
      <c r="S127" s="129">
        <v>0</v>
      </c>
    </row>
    <row r="128" spans="13:19">
      <c r="M128" s="12" t="s">
        <v>223</v>
      </c>
      <c r="N128" s="129" t="s">
        <v>160</v>
      </c>
      <c r="O128" s="129">
        <v>0</v>
      </c>
      <c r="P128" s="129"/>
      <c r="Q128" s="129">
        <v>1990</v>
      </c>
      <c r="R128" s="129">
        <v>600</v>
      </c>
      <c r="S128" s="129">
        <v>0</v>
      </c>
    </row>
    <row r="129" spans="13:19">
      <c r="M129" s="12"/>
      <c r="N129" s="129" t="s">
        <v>167</v>
      </c>
      <c r="O129" s="129">
        <v>0</v>
      </c>
      <c r="P129" s="129"/>
      <c r="Q129" s="129">
        <v>1255</v>
      </c>
      <c r="R129" s="129">
        <v>600</v>
      </c>
      <c r="S129" s="129">
        <v>1</v>
      </c>
    </row>
    <row r="130" spans="13:19">
      <c r="M130" s="12"/>
      <c r="N130" s="129" t="s">
        <v>164</v>
      </c>
      <c r="O130" s="129">
        <v>0</v>
      </c>
      <c r="P130" s="129"/>
      <c r="Q130" s="129">
        <v>558</v>
      </c>
      <c r="R130" s="129">
        <v>400</v>
      </c>
      <c r="S130" s="129">
        <v>3</v>
      </c>
    </row>
    <row r="131" spans="13:19">
      <c r="M131" s="12" t="s">
        <v>224</v>
      </c>
      <c r="N131" s="129" t="s">
        <v>160</v>
      </c>
      <c r="O131" s="129">
        <v>0</v>
      </c>
      <c r="P131" s="129"/>
      <c r="Q131" s="129">
        <v>1990</v>
      </c>
      <c r="R131" s="129">
        <v>600</v>
      </c>
      <c r="S131" s="129">
        <v>1</v>
      </c>
    </row>
    <row r="132" spans="13:19">
      <c r="M132" s="12"/>
      <c r="N132" s="129" t="s">
        <v>167</v>
      </c>
      <c r="O132" s="129">
        <v>0</v>
      </c>
      <c r="P132" s="129"/>
      <c r="Q132" s="129">
        <v>1255</v>
      </c>
      <c r="R132" s="129">
        <v>600</v>
      </c>
      <c r="S132" s="129">
        <v>0</v>
      </c>
    </row>
    <row r="133" spans="13:19">
      <c r="M133" s="12"/>
      <c r="N133" s="129" t="s">
        <v>164</v>
      </c>
      <c r="O133" s="129">
        <v>0</v>
      </c>
      <c r="P133" s="129"/>
      <c r="Q133" s="129">
        <v>558</v>
      </c>
      <c r="R133" s="129">
        <v>400</v>
      </c>
      <c r="S133" s="129">
        <v>5</v>
      </c>
    </row>
    <row r="134" spans="13:19">
      <c r="M134" s="12" t="s">
        <v>225</v>
      </c>
      <c r="N134" s="129" t="s">
        <v>160</v>
      </c>
      <c r="O134" s="129">
        <v>0</v>
      </c>
      <c r="P134" s="129"/>
      <c r="Q134" s="129">
        <v>1990</v>
      </c>
      <c r="R134" s="129">
        <v>600</v>
      </c>
      <c r="S134" s="129">
        <v>0</v>
      </c>
    </row>
    <row r="135" spans="13:19">
      <c r="M135" s="12"/>
      <c r="N135" s="129" t="s">
        <v>167</v>
      </c>
      <c r="O135" s="129">
        <v>0</v>
      </c>
      <c r="P135" s="129"/>
      <c r="Q135" s="129">
        <v>1255</v>
      </c>
      <c r="R135" s="129">
        <v>600</v>
      </c>
      <c r="S135" s="129">
        <v>1</v>
      </c>
    </row>
    <row r="136" spans="13:19">
      <c r="M136" s="12"/>
      <c r="N136" s="129" t="s">
        <v>164</v>
      </c>
      <c r="O136" s="129">
        <v>0</v>
      </c>
      <c r="P136" s="129"/>
      <c r="Q136" s="129">
        <v>558</v>
      </c>
      <c r="R136" s="129">
        <v>400</v>
      </c>
      <c r="S136" s="129">
        <v>0</v>
      </c>
    </row>
    <row r="137" spans="13:19">
      <c r="M137" s="12" t="s">
        <v>226</v>
      </c>
      <c r="N137" s="129" t="s">
        <v>160</v>
      </c>
      <c r="O137" s="129">
        <v>0</v>
      </c>
      <c r="P137" s="129"/>
      <c r="Q137" s="129">
        <v>1990</v>
      </c>
      <c r="R137" s="129">
        <v>600</v>
      </c>
      <c r="S137" s="129">
        <v>0</v>
      </c>
    </row>
    <row r="138" spans="13:19">
      <c r="M138" s="12"/>
      <c r="N138" s="129" t="s">
        <v>167</v>
      </c>
      <c r="O138" s="129">
        <v>0</v>
      </c>
      <c r="P138" s="129"/>
      <c r="Q138" s="129">
        <v>1255</v>
      </c>
      <c r="R138" s="129">
        <v>600</v>
      </c>
      <c r="S138" s="129">
        <v>0</v>
      </c>
    </row>
    <row r="139" spans="13:19">
      <c r="M139" s="12"/>
      <c r="N139" s="129" t="s">
        <v>164</v>
      </c>
      <c r="O139" s="129">
        <v>0</v>
      </c>
      <c r="P139" s="129"/>
      <c r="Q139" s="129">
        <v>558</v>
      </c>
      <c r="R139" s="129">
        <v>400</v>
      </c>
      <c r="S139" s="129">
        <v>2</v>
      </c>
    </row>
    <row r="140" spans="13:19">
      <c r="M140" s="12" t="s">
        <v>227</v>
      </c>
      <c r="N140" s="129" t="s">
        <v>160</v>
      </c>
      <c r="O140" s="129">
        <v>0</v>
      </c>
      <c r="P140" s="129"/>
      <c r="Q140" s="129">
        <v>1990</v>
      </c>
      <c r="R140" s="129">
        <v>600</v>
      </c>
      <c r="S140" s="129">
        <v>0</v>
      </c>
    </row>
    <row r="141" spans="13:19">
      <c r="M141" s="12"/>
      <c r="N141" s="129" t="s">
        <v>167</v>
      </c>
      <c r="O141" s="129">
        <v>0</v>
      </c>
      <c r="P141" s="129"/>
      <c r="Q141" s="129">
        <v>1255</v>
      </c>
      <c r="R141" s="129">
        <v>600</v>
      </c>
      <c r="S141" s="129">
        <v>1</v>
      </c>
    </row>
    <row r="142" spans="13:19">
      <c r="M142" s="12"/>
      <c r="N142" s="129" t="s">
        <v>164</v>
      </c>
      <c r="O142" s="129">
        <v>0</v>
      </c>
      <c r="P142" s="129"/>
      <c r="Q142" s="129">
        <v>558</v>
      </c>
      <c r="R142" s="129">
        <v>400</v>
      </c>
      <c r="S142" s="129">
        <v>7</v>
      </c>
    </row>
    <row r="143" spans="13:19">
      <c r="M143" s="12" t="s">
        <v>185</v>
      </c>
      <c r="N143" s="129" t="s">
        <v>160</v>
      </c>
      <c r="O143" s="129">
        <v>0</v>
      </c>
      <c r="P143" s="129"/>
      <c r="Q143" s="129">
        <v>1990</v>
      </c>
      <c r="R143" s="129">
        <v>600</v>
      </c>
      <c r="S143" s="129">
        <v>1</v>
      </c>
    </row>
    <row r="144" spans="13:19">
      <c r="M144" s="12"/>
      <c r="N144" s="129" t="s">
        <v>167</v>
      </c>
      <c r="O144" s="129">
        <v>0</v>
      </c>
      <c r="P144" s="129"/>
      <c r="Q144" s="129">
        <v>1255</v>
      </c>
      <c r="R144" s="129">
        <v>600</v>
      </c>
      <c r="S144" s="129">
        <v>0</v>
      </c>
    </row>
    <row r="145" spans="13:19">
      <c r="M145" s="12"/>
      <c r="N145" s="129" t="s">
        <v>164</v>
      </c>
      <c r="O145" s="129">
        <v>0</v>
      </c>
      <c r="P145" s="129"/>
      <c r="Q145" s="129">
        <v>558</v>
      </c>
      <c r="R145" s="129">
        <v>400</v>
      </c>
      <c r="S145" s="129">
        <v>1</v>
      </c>
    </row>
  </sheetData>
  <autoFilter ref="A1:V145">
    <extLst/>
  </autoFilter>
  <mergeCells count="48">
    <mergeCell ref="M3:M4"/>
    <mergeCell ref="M5:M7"/>
    <mergeCell ref="M8:M10"/>
    <mergeCell ref="M11:M13"/>
    <mergeCell ref="M14:M16"/>
    <mergeCell ref="M17:M19"/>
    <mergeCell ref="M20:M22"/>
    <mergeCell ref="M23:M25"/>
    <mergeCell ref="M26:M28"/>
    <mergeCell ref="M29:M31"/>
    <mergeCell ref="M32:M34"/>
    <mergeCell ref="M35:M37"/>
    <mergeCell ref="M38:M40"/>
    <mergeCell ref="M41:M43"/>
    <mergeCell ref="M44:M46"/>
    <mergeCell ref="M47:M49"/>
    <mergeCell ref="M50:M52"/>
    <mergeCell ref="M53:M55"/>
    <mergeCell ref="M56:M58"/>
    <mergeCell ref="M59:M61"/>
    <mergeCell ref="M62:M64"/>
    <mergeCell ref="M65:M67"/>
    <mergeCell ref="M68:M70"/>
    <mergeCell ref="M71:M73"/>
    <mergeCell ref="M74:M76"/>
    <mergeCell ref="M77:M79"/>
    <mergeCell ref="M80:M82"/>
    <mergeCell ref="M83:M85"/>
    <mergeCell ref="M86:M88"/>
    <mergeCell ref="M89:M91"/>
    <mergeCell ref="M92:M94"/>
    <mergeCell ref="M95:M97"/>
    <mergeCell ref="M98:M100"/>
    <mergeCell ref="M101:M103"/>
    <mergeCell ref="M104:M106"/>
    <mergeCell ref="M107:M109"/>
    <mergeCell ref="M110:M112"/>
    <mergeCell ref="M113:M115"/>
    <mergeCell ref="M116:M118"/>
    <mergeCell ref="M119:M121"/>
    <mergeCell ref="M122:M124"/>
    <mergeCell ref="M125:M127"/>
    <mergeCell ref="M128:M130"/>
    <mergeCell ref="M131:M133"/>
    <mergeCell ref="M134:M136"/>
    <mergeCell ref="M137:M139"/>
    <mergeCell ref="M140:M142"/>
    <mergeCell ref="M143:M145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K66"/>
  <sheetViews>
    <sheetView topLeftCell="A48" workbookViewId="0">
      <selection activeCell="L24" sqref="L24"/>
    </sheetView>
  </sheetViews>
  <sheetFormatPr defaultColWidth="9" defaultRowHeight="13.5"/>
  <cols>
    <col min="4" max="4" width="12.625"/>
    <col min="5" max="5" width="9.375"/>
    <col min="6" max="6" width="12.625"/>
    <col min="11" max="12" width="12.625"/>
  </cols>
  <sheetData>
    <row r="1" ht="22.5" spans="1:10">
      <c r="A1" s="15" t="s">
        <v>20</v>
      </c>
      <c r="B1" s="15"/>
      <c r="C1" s="15"/>
      <c r="D1" s="15"/>
      <c r="E1" s="15"/>
      <c r="F1" s="15"/>
      <c r="G1" s="15"/>
      <c r="H1" s="15"/>
      <c r="I1" s="15"/>
      <c r="J1" s="15"/>
    </row>
    <row r="2" ht="16.5" spans="1:10">
      <c r="A2" s="16" t="s">
        <v>21</v>
      </c>
      <c r="B2" s="17"/>
      <c r="C2" s="17"/>
      <c r="D2" s="17"/>
      <c r="E2" s="17"/>
      <c r="F2" s="17"/>
      <c r="G2" s="17"/>
      <c r="H2" s="17"/>
      <c r="I2" s="17"/>
      <c r="J2" s="26"/>
    </row>
    <row r="3" ht="16.5" spans="1:10">
      <c r="A3" s="18" t="s">
        <v>22</v>
      </c>
      <c r="B3" s="19"/>
      <c r="C3" s="19"/>
      <c r="D3" s="17"/>
      <c r="E3" s="19"/>
      <c r="F3" s="19"/>
      <c r="G3" s="17"/>
      <c r="H3" s="17"/>
      <c r="I3" s="26"/>
      <c r="J3" s="26"/>
    </row>
    <row r="4" ht="15" spans="1:10">
      <c r="A4" s="1" t="s">
        <v>23</v>
      </c>
      <c r="B4" s="1" t="s">
        <v>0</v>
      </c>
      <c r="C4" s="2" t="s">
        <v>24</v>
      </c>
      <c r="D4" s="2" t="s">
        <v>25</v>
      </c>
      <c r="E4" s="2" t="s">
        <v>26</v>
      </c>
      <c r="F4" s="2" t="s">
        <v>27</v>
      </c>
      <c r="G4" s="3" t="s">
        <v>28</v>
      </c>
      <c r="H4" s="2" t="s">
        <v>3</v>
      </c>
      <c r="I4" s="11" t="s">
        <v>29</v>
      </c>
      <c r="J4" s="11" t="s">
        <v>30</v>
      </c>
    </row>
    <row r="5" ht="16.5" spans="1:10">
      <c r="A5" s="5">
        <v>1</v>
      </c>
      <c r="B5" s="5" t="s">
        <v>31</v>
      </c>
      <c r="C5" s="156" t="s">
        <v>32</v>
      </c>
      <c r="D5" s="6">
        <v>16</v>
      </c>
      <c r="E5" s="6">
        <v>2000</v>
      </c>
      <c r="F5" s="6">
        <v>10930</v>
      </c>
      <c r="G5" s="8" t="s">
        <v>33</v>
      </c>
      <c r="H5" s="5">
        <v>1</v>
      </c>
      <c r="I5" s="157">
        <f t="shared" ref="I5:I19" si="0">D5*E5*F5*H5*7.85/1000000</f>
        <v>2745.616</v>
      </c>
      <c r="J5" s="13" t="s">
        <v>11</v>
      </c>
    </row>
    <row r="6" ht="16.5" spans="1:10">
      <c r="A6" s="5">
        <v>2</v>
      </c>
      <c r="B6" s="5" t="s">
        <v>31</v>
      </c>
      <c r="C6" s="156" t="s">
        <v>32</v>
      </c>
      <c r="D6" s="6">
        <v>16</v>
      </c>
      <c r="E6" s="6">
        <v>2000</v>
      </c>
      <c r="F6" s="6">
        <v>11080</v>
      </c>
      <c r="G6" s="8" t="s">
        <v>33</v>
      </c>
      <c r="H6" s="5">
        <v>1</v>
      </c>
      <c r="I6" s="157">
        <f t="shared" si="0"/>
        <v>2783.296</v>
      </c>
      <c r="J6" s="13" t="s">
        <v>11</v>
      </c>
    </row>
    <row r="7" ht="16.5" spans="1:10">
      <c r="A7" s="5">
        <v>3</v>
      </c>
      <c r="B7" s="5" t="s">
        <v>31</v>
      </c>
      <c r="C7" s="156" t="s">
        <v>32</v>
      </c>
      <c r="D7" s="6">
        <v>16</v>
      </c>
      <c r="E7" s="6">
        <v>2000</v>
      </c>
      <c r="F7" s="6">
        <v>10760</v>
      </c>
      <c r="G7" s="8" t="s">
        <v>33</v>
      </c>
      <c r="H7" s="5">
        <v>1</v>
      </c>
      <c r="I7" s="157">
        <f t="shared" si="0"/>
        <v>2702.912</v>
      </c>
      <c r="J7" s="13" t="s">
        <v>11</v>
      </c>
    </row>
    <row r="8" ht="16.5" spans="1:10">
      <c r="A8" s="5">
        <v>4</v>
      </c>
      <c r="B8" s="5" t="s">
        <v>31</v>
      </c>
      <c r="C8" s="156" t="s">
        <v>32</v>
      </c>
      <c r="D8" s="6">
        <v>16</v>
      </c>
      <c r="E8" s="6">
        <v>2000</v>
      </c>
      <c r="F8" s="6">
        <v>10760</v>
      </c>
      <c r="G8" s="8" t="s">
        <v>33</v>
      </c>
      <c r="H8" s="5">
        <v>1</v>
      </c>
      <c r="I8" s="157">
        <f t="shared" si="0"/>
        <v>2702.912</v>
      </c>
      <c r="J8" s="13" t="s">
        <v>11</v>
      </c>
    </row>
    <row r="9" ht="16.5" spans="1:10">
      <c r="A9" s="5">
        <v>5</v>
      </c>
      <c r="B9" s="5" t="s">
        <v>31</v>
      </c>
      <c r="C9" s="156" t="s">
        <v>32</v>
      </c>
      <c r="D9" s="6">
        <v>16</v>
      </c>
      <c r="E9" s="6">
        <v>1900</v>
      </c>
      <c r="F9" s="6">
        <v>11400</v>
      </c>
      <c r="G9" s="8" t="s">
        <v>33</v>
      </c>
      <c r="H9" s="5">
        <v>1</v>
      </c>
      <c r="I9" s="157">
        <f t="shared" si="0"/>
        <v>2720.496</v>
      </c>
      <c r="J9" s="13" t="s">
        <v>11</v>
      </c>
    </row>
    <row r="10" ht="16.5" spans="1:10">
      <c r="A10" s="5">
        <v>6</v>
      </c>
      <c r="B10" s="5" t="s">
        <v>31</v>
      </c>
      <c r="C10" s="156" t="s">
        <v>32</v>
      </c>
      <c r="D10" s="6">
        <v>16</v>
      </c>
      <c r="E10" s="6">
        <v>1900</v>
      </c>
      <c r="F10" s="6">
        <v>11400</v>
      </c>
      <c r="G10" s="8" t="s">
        <v>33</v>
      </c>
      <c r="H10" s="5">
        <v>1</v>
      </c>
      <c r="I10" s="157">
        <f t="shared" si="0"/>
        <v>2720.496</v>
      </c>
      <c r="J10" s="13" t="s">
        <v>11</v>
      </c>
    </row>
    <row r="11" ht="16.5" spans="1:10">
      <c r="A11" s="5">
        <v>7</v>
      </c>
      <c r="B11" s="5" t="s">
        <v>31</v>
      </c>
      <c r="C11" s="156" t="s">
        <v>32</v>
      </c>
      <c r="D11" s="6">
        <v>16</v>
      </c>
      <c r="E11" s="6">
        <v>1900</v>
      </c>
      <c r="F11" s="6">
        <v>11400</v>
      </c>
      <c r="G11" s="8" t="s">
        <v>33</v>
      </c>
      <c r="H11" s="5">
        <v>1</v>
      </c>
      <c r="I11" s="157">
        <f t="shared" si="0"/>
        <v>2720.496</v>
      </c>
      <c r="J11" s="13" t="s">
        <v>11</v>
      </c>
    </row>
    <row r="12" ht="16.5" spans="1:10">
      <c r="A12" s="5">
        <v>8</v>
      </c>
      <c r="B12" s="5" t="s">
        <v>31</v>
      </c>
      <c r="C12" s="156" t="s">
        <v>32</v>
      </c>
      <c r="D12" s="6">
        <v>16</v>
      </c>
      <c r="E12" s="6">
        <v>1890</v>
      </c>
      <c r="F12" s="6">
        <v>11210</v>
      </c>
      <c r="G12" s="8" t="s">
        <v>33</v>
      </c>
      <c r="H12" s="5">
        <v>1</v>
      </c>
      <c r="I12" s="157">
        <f t="shared" si="0"/>
        <v>2661.07464</v>
      </c>
      <c r="J12" s="13" t="s">
        <v>11</v>
      </c>
    </row>
    <row r="13" ht="16.5" spans="1:10">
      <c r="A13" s="5">
        <v>9</v>
      </c>
      <c r="B13" s="5" t="s">
        <v>31</v>
      </c>
      <c r="C13" s="156" t="s">
        <v>32</v>
      </c>
      <c r="D13" s="6">
        <v>16</v>
      </c>
      <c r="E13" s="6">
        <v>1810</v>
      </c>
      <c r="F13" s="6">
        <v>5930</v>
      </c>
      <c r="G13" s="8" t="s">
        <v>33</v>
      </c>
      <c r="H13" s="5">
        <v>1</v>
      </c>
      <c r="I13" s="157">
        <f t="shared" si="0"/>
        <v>1348.10248</v>
      </c>
      <c r="J13" s="13" t="s">
        <v>11</v>
      </c>
    </row>
    <row r="14" ht="16.5" spans="1:10">
      <c r="A14" s="5">
        <v>10</v>
      </c>
      <c r="B14" s="5" t="s">
        <v>31</v>
      </c>
      <c r="C14" s="156" t="s">
        <v>32</v>
      </c>
      <c r="D14" s="6">
        <v>16</v>
      </c>
      <c r="E14" s="6">
        <v>1860</v>
      </c>
      <c r="F14" s="6">
        <v>9500</v>
      </c>
      <c r="G14" s="8" t="s">
        <v>33</v>
      </c>
      <c r="H14" s="5">
        <v>1</v>
      </c>
      <c r="I14" s="157">
        <f t="shared" si="0"/>
        <v>2219.352</v>
      </c>
      <c r="J14" s="13" t="s">
        <v>11</v>
      </c>
    </row>
    <row r="15" ht="16.5" spans="1:10">
      <c r="A15" s="5">
        <v>11</v>
      </c>
      <c r="B15" s="5" t="s">
        <v>31</v>
      </c>
      <c r="C15" s="156" t="s">
        <v>32</v>
      </c>
      <c r="D15" s="6">
        <v>16</v>
      </c>
      <c r="E15" s="6">
        <v>2000</v>
      </c>
      <c r="F15" s="6">
        <v>11130</v>
      </c>
      <c r="G15" s="8" t="s">
        <v>33</v>
      </c>
      <c r="H15" s="5">
        <v>1</v>
      </c>
      <c r="I15" s="157">
        <f t="shared" si="0"/>
        <v>2795.856</v>
      </c>
      <c r="J15" s="13" t="s">
        <v>11</v>
      </c>
    </row>
    <row r="16" ht="16.5" spans="1:10">
      <c r="A16" s="5">
        <v>12</v>
      </c>
      <c r="B16" s="5" t="s">
        <v>31</v>
      </c>
      <c r="C16" s="156" t="s">
        <v>32</v>
      </c>
      <c r="D16" s="6">
        <v>16</v>
      </c>
      <c r="E16" s="6">
        <v>1900</v>
      </c>
      <c r="F16" s="6">
        <v>11480</v>
      </c>
      <c r="G16" s="8" t="s">
        <v>33</v>
      </c>
      <c r="H16" s="5">
        <v>1</v>
      </c>
      <c r="I16" s="157">
        <f t="shared" si="0"/>
        <v>2739.5872</v>
      </c>
      <c r="J16" s="13" t="s">
        <v>11</v>
      </c>
    </row>
    <row r="17" ht="16.5" spans="1:10">
      <c r="A17" s="5">
        <v>13</v>
      </c>
      <c r="B17" s="5" t="s">
        <v>31</v>
      </c>
      <c r="C17" s="156" t="s">
        <v>32</v>
      </c>
      <c r="D17" s="6">
        <v>16</v>
      </c>
      <c r="E17" s="6">
        <v>1500.00000000107</v>
      </c>
      <c r="F17" s="6">
        <v>7650</v>
      </c>
      <c r="G17" s="8" t="s">
        <v>33</v>
      </c>
      <c r="H17" s="5">
        <v>1</v>
      </c>
      <c r="I17" s="157">
        <f t="shared" si="0"/>
        <v>1441.26000000103</v>
      </c>
      <c r="J17" s="13" t="s">
        <v>11</v>
      </c>
    </row>
    <row r="18" ht="16.5" spans="1:10">
      <c r="A18" s="5">
        <v>14</v>
      </c>
      <c r="B18" s="5" t="s">
        <v>31</v>
      </c>
      <c r="C18" s="156" t="s">
        <v>32</v>
      </c>
      <c r="D18" s="6">
        <v>16</v>
      </c>
      <c r="E18" s="6">
        <v>2000</v>
      </c>
      <c r="F18" s="6">
        <v>11700</v>
      </c>
      <c r="G18" s="8" t="s">
        <v>33</v>
      </c>
      <c r="H18" s="5">
        <v>1</v>
      </c>
      <c r="I18" s="157">
        <f t="shared" si="0"/>
        <v>2939.04</v>
      </c>
      <c r="J18" s="13" t="s">
        <v>11</v>
      </c>
    </row>
    <row r="19" ht="16.5" spans="1:10">
      <c r="A19" s="5">
        <v>15</v>
      </c>
      <c r="B19" s="5" t="s">
        <v>31</v>
      </c>
      <c r="C19" s="156" t="s">
        <v>32</v>
      </c>
      <c r="D19" s="6">
        <v>16</v>
      </c>
      <c r="E19" s="6">
        <v>2000</v>
      </c>
      <c r="F19" s="6">
        <v>9810</v>
      </c>
      <c r="G19" s="8" t="s">
        <v>33</v>
      </c>
      <c r="H19" s="5">
        <v>1</v>
      </c>
      <c r="I19" s="157">
        <f t="shared" si="0"/>
        <v>2464.272</v>
      </c>
      <c r="J19" s="13" t="s">
        <v>11</v>
      </c>
    </row>
    <row r="20" ht="16.5" spans="1:10">
      <c r="A20" s="5">
        <v>16</v>
      </c>
      <c r="B20" s="5" t="s">
        <v>31</v>
      </c>
      <c r="C20" s="156" t="s">
        <v>32</v>
      </c>
      <c r="D20" s="6">
        <v>16</v>
      </c>
      <c r="E20" s="6">
        <v>2005</v>
      </c>
      <c r="F20" s="6">
        <v>11900</v>
      </c>
      <c r="G20" s="8" t="s">
        <v>33</v>
      </c>
      <c r="H20" s="5">
        <v>1</v>
      </c>
      <c r="I20" s="157">
        <f t="shared" ref="I20:I46" si="1">D20*E20*F20*H20*7.85/1000000</f>
        <v>2996.7532</v>
      </c>
      <c r="J20" s="13" t="s">
        <v>11</v>
      </c>
    </row>
    <row r="21" ht="16.5" spans="1:10">
      <c r="A21" s="5">
        <v>17</v>
      </c>
      <c r="B21" s="5" t="s">
        <v>31</v>
      </c>
      <c r="C21" s="156" t="s">
        <v>32</v>
      </c>
      <c r="D21" s="6">
        <v>16</v>
      </c>
      <c r="E21" s="6">
        <v>1900</v>
      </c>
      <c r="F21" s="6">
        <v>11150</v>
      </c>
      <c r="G21" s="8" t="s">
        <v>33</v>
      </c>
      <c r="H21" s="5">
        <v>1</v>
      </c>
      <c r="I21" s="157">
        <f t="shared" si="1"/>
        <v>2660.836</v>
      </c>
      <c r="J21" s="13" t="s">
        <v>11</v>
      </c>
    </row>
    <row r="22" ht="16.5" spans="1:10">
      <c r="A22" s="5">
        <v>18</v>
      </c>
      <c r="B22" s="5" t="s">
        <v>31</v>
      </c>
      <c r="C22" s="156" t="s">
        <v>32</v>
      </c>
      <c r="D22" s="6">
        <v>16</v>
      </c>
      <c r="E22" s="6">
        <v>1800</v>
      </c>
      <c r="F22" s="6">
        <v>10640</v>
      </c>
      <c r="G22" s="8" t="s">
        <v>33</v>
      </c>
      <c r="H22" s="5">
        <v>1</v>
      </c>
      <c r="I22" s="157">
        <f t="shared" si="1"/>
        <v>2405.4912</v>
      </c>
      <c r="J22" s="13" t="s">
        <v>34</v>
      </c>
    </row>
    <row r="23" ht="16.5" spans="1:10">
      <c r="A23" s="5">
        <v>19</v>
      </c>
      <c r="B23" s="5" t="s">
        <v>31</v>
      </c>
      <c r="C23" s="156" t="s">
        <v>32</v>
      </c>
      <c r="D23" s="6">
        <v>16</v>
      </c>
      <c r="E23" s="6">
        <v>1805</v>
      </c>
      <c r="F23" s="6">
        <v>8100</v>
      </c>
      <c r="G23" s="8" t="s">
        <v>33</v>
      </c>
      <c r="H23" s="5">
        <v>1</v>
      </c>
      <c r="I23" s="157">
        <f t="shared" si="1"/>
        <v>1836.3348</v>
      </c>
      <c r="J23" s="13" t="s">
        <v>34</v>
      </c>
    </row>
    <row r="24" ht="16.5" spans="1:10">
      <c r="A24" s="5">
        <v>20</v>
      </c>
      <c r="B24" s="5" t="s">
        <v>31</v>
      </c>
      <c r="C24" s="156" t="s">
        <v>32</v>
      </c>
      <c r="D24" s="6">
        <v>16</v>
      </c>
      <c r="E24" s="6">
        <v>1800</v>
      </c>
      <c r="F24" s="6">
        <v>8070</v>
      </c>
      <c r="G24" s="8" t="s">
        <v>33</v>
      </c>
      <c r="H24" s="5">
        <v>1</v>
      </c>
      <c r="I24" s="157">
        <f t="shared" si="1"/>
        <v>1824.4656</v>
      </c>
      <c r="J24" s="13" t="s">
        <v>34</v>
      </c>
    </row>
    <row r="25" ht="16.5" spans="1:10">
      <c r="A25" s="5">
        <v>21</v>
      </c>
      <c r="B25" s="5" t="s">
        <v>31</v>
      </c>
      <c r="C25" s="156" t="s">
        <v>32</v>
      </c>
      <c r="D25" s="6">
        <v>16</v>
      </c>
      <c r="E25" s="6">
        <v>1510</v>
      </c>
      <c r="F25" s="6">
        <v>8050</v>
      </c>
      <c r="G25" s="8" t="s">
        <v>33</v>
      </c>
      <c r="H25" s="5">
        <v>1</v>
      </c>
      <c r="I25" s="157">
        <f t="shared" si="1"/>
        <v>1526.7308</v>
      </c>
      <c r="J25" s="13" t="s">
        <v>34</v>
      </c>
    </row>
    <row r="26" ht="16.5" spans="1:10">
      <c r="A26" s="5">
        <v>22</v>
      </c>
      <c r="B26" s="5" t="s">
        <v>31</v>
      </c>
      <c r="C26" s="156" t="s">
        <v>32</v>
      </c>
      <c r="D26" s="6">
        <v>16</v>
      </c>
      <c r="E26" s="6">
        <v>1780</v>
      </c>
      <c r="F26" s="6">
        <v>8030</v>
      </c>
      <c r="G26" s="8" t="s">
        <v>33</v>
      </c>
      <c r="H26" s="5">
        <v>1</v>
      </c>
      <c r="I26" s="157">
        <f t="shared" si="1"/>
        <v>1795.25104</v>
      </c>
      <c r="J26" s="13" t="s">
        <v>34</v>
      </c>
    </row>
    <row r="27" ht="16.5" spans="1:10">
      <c r="A27" s="5">
        <v>23</v>
      </c>
      <c r="B27" s="5" t="s">
        <v>31</v>
      </c>
      <c r="C27" s="156" t="s">
        <v>32</v>
      </c>
      <c r="D27" s="6">
        <v>16</v>
      </c>
      <c r="E27" s="6">
        <v>1800</v>
      </c>
      <c r="F27" s="6">
        <v>8450</v>
      </c>
      <c r="G27" s="8" t="s">
        <v>33</v>
      </c>
      <c r="H27" s="5">
        <v>1</v>
      </c>
      <c r="I27" s="157">
        <f t="shared" si="1"/>
        <v>1910.376</v>
      </c>
      <c r="J27" s="13" t="s">
        <v>34</v>
      </c>
    </row>
    <row r="28" ht="16.5" spans="1:10">
      <c r="A28" s="5">
        <v>24</v>
      </c>
      <c r="B28" s="5" t="s">
        <v>31</v>
      </c>
      <c r="C28" s="156" t="s">
        <v>32</v>
      </c>
      <c r="D28" s="6">
        <v>16</v>
      </c>
      <c r="E28" s="6">
        <v>1800</v>
      </c>
      <c r="F28" s="6">
        <v>8240</v>
      </c>
      <c r="G28" s="8" t="s">
        <v>33</v>
      </c>
      <c r="H28" s="5">
        <v>1</v>
      </c>
      <c r="I28" s="157">
        <f t="shared" si="1"/>
        <v>1862.8992</v>
      </c>
      <c r="J28" s="13" t="s">
        <v>34</v>
      </c>
    </row>
    <row r="29" ht="16.5" spans="1:10">
      <c r="A29" s="5">
        <v>25</v>
      </c>
      <c r="B29" s="5" t="s">
        <v>31</v>
      </c>
      <c r="C29" s="156" t="s">
        <v>32</v>
      </c>
      <c r="D29" s="6">
        <v>16</v>
      </c>
      <c r="E29" s="6">
        <v>1800</v>
      </c>
      <c r="F29" s="6">
        <v>8360</v>
      </c>
      <c r="G29" s="8" t="s">
        <v>33</v>
      </c>
      <c r="H29" s="5">
        <v>1</v>
      </c>
      <c r="I29" s="157">
        <f t="shared" si="1"/>
        <v>1890.0288</v>
      </c>
      <c r="J29" s="13" t="s">
        <v>34</v>
      </c>
    </row>
    <row r="30" ht="16.5" spans="1:10">
      <c r="A30" s="5">
        <v>26</v>
      </c>
      <c r="B30" s="5" t="s">
        <v>31</v>
      </c>
      <c r="C30" s="156" t="s">
        <v>32</v>
      </c>
      <c r="D30" s="6">
        <v>16</v>
      </c>
      <c r="E30" s="6">
        <v>1805</v>
      </c>
      <c r="F30" s="6">
        <v>8060</v>
      </c>
      <c r="G30" s="8" t="s">
        <v>33</v>
      </c>
      <c r="H30" s="5">
        <v>1</v>
      </c>
      <c r="I30" s="157">
        <f t="shared" si="1"/>
        <v>1827.26648</v>
      </c>
      <c r="J30" s="13" t="s">
        <v>34</v>
      </c>
    </row>
    <row r="31" ht="16.5" spans="1:10">
      <c r="A31" s="5">
        <v>27</v>
      </c>
      <c r="B31" s="5" t="s">
        <v>31</v>
      </c>
      <c r="C31" s="156" t="s">
        <v>32</v>
      </c>
      <c r="D31" s="6">
        <v>16</v>
      </c>
      <c r="E31" s="6">
        <v>1805</v>
      </c>
      <c r="F31" s="6">
        <v>9070</v>
      </c>
      <c r="G31" s="8" t="s">
        <v>33</v>
      </c>
      <c r="H31" s="5">
        <v>1</v>
      </c>
      <c r="I31" s="157">
        <f t="shared" si="1"/>
        <v>2056.24156</v>
      </c>
      <c r="J31" s="13" t="s">
        <v>34</v>
      </c>
    </row>
    <row r="32" ht="16.5" spans="1:10">
      <c r="A32" s="5">
        <v>28</v>
      </c>
      <c r="B32" s="5" t="s">
        <v>31</v>
      </c>
      <c r="C32" s="156" t="s">
        <v>32</v>
      </c>
      <c r="D32" s="6">
        <v>16</v>
      </c>
      <c r="E32" s="6">
        <v>1805</v>
      </c>
      <c r="F32" s="6">
        <v>8080</v>
      </c>
      <c r="G32" s="8" t="s">
        <v>33</v>
      </c>
      <c r="H32" s="5">
        <v>1</v>
      </c>
      <c r="I32" s="157">
        <f t="shared" si="1"/>
        <v>1831.80064</v>
      </c>
      <c r="J32" s="13" t="s">
        <v>34</v>
      </c>
    </row>
    <row r="33" ht="16.5" spans="1:10">
      <c r="A33" s="5">
        <v>29</v>
      </c>
      <c r="B33" s="5" t="s">
        <v>31</v>
      </c>
      <c r="C33" s="156" t="s">
        <v>32</v>
      </c>
      <c r="D33" s="6">
        <v>16</v>
      </c>
      <c r="E33" s="6">
        <v>1800</v>
      </c>
      <c r="F33" s="6">
        <v>8140</v>
      </c>
      <c r="G33" s="8" t="s">
        <v>33</v>
      </c>
      <c r="H33" s="5">
        <v>1</v>
      </c>
      <c r="I33" s="157">
        <f t="shared" si="1"/>
        <v>1840.2912</v>
      </c>
      <c r="J33" s="13" t="s">
        <v>34</v>
      </c>
    </row>
    <row r="34" ht="16.5" spans="1:10">
      <c r="A34" s="5">
        <v>30</v>
      </c>
      <c r="B34" s="5" t="s">
        <v>31</v>
      </c>
      <c r="C34" s="156" t="s">
        <v>32</v>
      </c>
      <c r="D34" s="6">
        <v>16</v>
      </c>
      <c r="E34" s="6">
        <v>1505</v>
      </c>
      <c r="F34" s="6">
        <v>6240</v>
      </c>
      <c r="G34" s="8" t="s">
        <v>33</v>
      </c>
      <c r="H34" s="5">
        <v>1</v>
      </c>
      <c r="I34" s="157">
        <f t="shared" si="1"/>
        <v>1179.53472</v>
      </c>
      <c r="J34" s="13" t="s">
        <v>34</v>
      </c>
    </row>
    <row r="35" ht="16.5" spans="1:10">
      <c r="A35" s="5">
        <v>31</v>
      </c>
      <c r="B35" s="5" t="s">
        <v>31</v>
      </c>
      <c r="C35" s="156" t="s">
        <v>32</v>
      </c>
      <c r="D35" s="6">
        <v>16</v>
      </c>
      <c r="E35" s="6">
        <v>1820</v>
      </c>
      <c r="F35" s="6">
        <v>12440</v>
      </c>
      <c r="G35" s="8" t="s">
        <v>33</v>
      </c>
      <c r="H35" s="5">
        <v>1</v>
      </c>
      <c r="I35" s="157">
        <f t="shared" si="1"/>
        <v>2843.68448</v>
      </c>
      <c r="J35" s="13" t="s">
        <v>34</v>
      </c>
    </row>
    <row r="36" ht="16.5" spans="1:10">
      <c r="A36" s="5">
        <v>32</v>
      </c>
      <c r="B36" s="5" t="s">
        <v>31</v>
      </c>
      <c r="C36" s="156" t="s">
        <v>32</v>
      </c>
      <c r="D36" s="6">
        <v>16</v>
      </c>
      <c r="E36" s="6">
        <v>1630</v>
      </c>
      <c r="F36" s="6">
        <v>11880</v>
      </c>
      <c r="G36" s="8" t="s">
        <v>33</v>
      </c>
      <c r="H36" s="5">
        <v>1</v>
      </c>
      <c r="I36" s="157">
        <f t="shared" si="1"/>
        <v>2432.16864</v>
      </c>
      <c r="J36" s="13" t="s">
        <v>34</v>
      </c>
    </row>
    <row r="37" ht="16.5" spans="1:10">
      <c r="A37" s="5">
        <v>33</v>
      </c>
      <c r="B37" s="5" t="s">
        <v>31</v>
      </c>
      <c r="C37" s="156" t="s">
        <v>32</v>
      </c>
      <c r="D37" s="6">
        <v>16</v>
      </c>
      <c r="E37" s="6">
        <v>1570</v>
      </c>
      <c r="F37" s="6">
        <v>8130</v>
      </c>
      <c r="G37" s="8" t="s">
        <v>33</v>
      </c>
      <c r="H37" s="5">
        <v>1</v>
      </c>
      <c r="I37" s="157">
        <f t="shared" si="1"/>
        <v>1603.17096</v>
      </c>
      <c r="J37" s="13" t="s">
        <v>34</v>
      </c>
    </row>
    <row r="38" ht="16.5" spans="1:10">
      <c r="A38" s="5">
        <v>34</v>
      </c>
      <c r="B38" s="5" t="s">
        <v>31</v>
      </c>
      <c r="C38" s="156" t="s">
        <v>32</v>
      </c>
      <c r="D38" s="6">
        <v>16</v>
      </c>
      <c r="E38" s="6">
        <v>1610</v>
      </c>
      <c r="F38" s="6">
        <v>8130</v>
      </c>
      <c r="G38" s="8" t="s">
        <v>33</v>
      </c>
      <c r="H38" s="5">
        <v>1</v>
      </c>
      <c r="I38" s="157">
        <f t="shared" si="1"/>
        <v>1644.01608</v>
      </c>
      <c r="J38" s="13" t="s">
        <v>34</v>
      </c>
    </row>
    <row r="39" ht="16.5" spans="1:10">
      <c r="A39" s="5">
        <v>35</v>
      </c>
      <c r="B39" s="5" t="s">
        <v>31</v>
      </c>
      <c r="C39" s="156" t="s">
        <v>32</v>
      </c>
      <c r="D39" s="6">
        <v>16</v>
      </c>
      <c r="E39" s="6">
        <v>1890</v>
      </c>
      <c r="F39" s="6">
        <v>10430</v>
      </c>
      <c r="G39" s="8" t="s">
        <v>33</v>
      </c>
      <c r="H39" s="5">
        <v>1</v>
      </c>
      <c r="I39" s="157">
        <f t="shared" si="1"/>
        <v>2475.91512</v>
      </c>
      <c r="J39" s="5" t="s">
        <v>35</v>
      </c>
    </row>
    <row r="40" ht="16.5" spans="1:10">
      <c r="A40" s="5">
        <v>36</v>
      </c>
      <c r="B40" s="5" t="s">
        <v>31</v>
      </c>
      <c r="C40" s="156" t="s">
        <v>32</v>
      </c>
      <c r="D40" s="6">
        <v>16</v>
      </c>
      <c r="E40" s="6">
        <v>1860</v>
      </c>
      <c r="F40" s="6">
        <v>7650</v>
      </c>
      <c r="G40" s="8" t="s">
        <v>33</v>
      </c>
      <c r="H40" s="5">
        <v>1</v>
      </c>
      <c r="I40" s="157">
        <f t="shared" si="1"/>
        <v>1787.1624</v>
      </c>
      <c r="J40" s="5" t="s">
        <v>35</v>
      </c>
    </row>
    <row r="41" ht="16.5" spans="1:10">
      <c r="A41" s="5">
        <v>37</v>
      </c>
      <c r="B41" s="5" t="s">
        <v>31</v>
      </c>
      <c r="C41" s="156" t="s">
        <v>32</v>
      </c>
      <c r="D41" s="6">
        <v>16</v>
      </c>
      <c r="E41" s="6">
        <v>1970</v>
      </c>
      <c r="F41" s="6">
        <v>11260</v>
      </c>
      <c r="G41" s="8" t="s">
        <v>33</v>
      </c>
      <c r="H41" s="5">
        <v>1</v>
      </c>
      <c r="I41" s="157">
        <f t="shared" si="1"/>
        <v>2786.08432</v>
      </c>
      <c r="J41" s="5" t="s">
        <v>35</v>
      </c>
    </row>
    <row r="42" ht="16.5" spans="1:10">
      <c r="A42" s="5">
        <v>38</v>
      </c>
      <c r="B42" s="5" t="s">
        <v>31</v>
      </c>
      <c r="C42" s="156" t="s">
        <v>32</v>
      </c>
      <c r="D42" s="6">
        <v>16</v>
      </c>
      <c r="E42" s="6">
        <v>1960</v>
      </c>
      <c r="F42" s="6">
        <v>7210</v>
      </c>
      <c r="G42" s="8" t="s">
        <v>33</v>
      </c>
      <c r="H42" s="5">
        <v>1</v>
      </c>
      <c r="I42" s="157">
        <f t="shared" si="1"/>
        <v>1774.92896</v>
      </c>
      <c r="J42" s="5" t="s">
        <v>35</v>
      </c>
    </row>
    <row r="43" ht="16.5" spans="1:10">
      <c r="A43" s="5">
        <v>39</v>
      </c>
      <c r="B43" s="5" t="s">
        <v>31</v>
      </c>
      <c r="C43" s="156" t="s">
        <v>32</v>
      </c>
      <c r="D43" s="6">
        <v>16</v>
      </c>
      <c r="E43" s="6">
        <v>1820</v>
      </c>
      <c r="F43" s="6">
        <v>7799.99999999997</v>
      </c>
      <c r="G43" s="8" t="s">
        <v>33</v>
      </c>
      <c r="H43" s="5">
        <v>1</v>
      </c>
      <c r="I43" s="157">
        <f t="shared" si="1"/>
        <v>1783.01759999999</v>
      </c>
      <c r="J43" s="13" t="s">
        <v>36</v>
      </c>
    </row>
    <row r="44" ht="16.5" spans="1:10">
      <c r="A44" s="5">
        <v>40</v>
      </c>
      <c r="B44" s="5" t="s">
        <v>31</v>
      </c>
      <c r="C44" s="156" t="s">
        <v>32</v>
      </c>
      <c r="D44" s="6">
        <v>16</v>
      </c>
      <c r="E44" s="6">
        <v>1820</v>
      </c>
      <c r="F44" s="6">
        <v>11800</v>
      </c>
      <c r="G44" s="8" t="s">
        <v>33</v>
      </c>
      <c r="H44" s="5">
        <v>1</v>
      </c>
      <c r="I44" s="157">
        <f t="shared" si="1"/>
        <v>2697.3856</v>
      </c>
      <c r="J44" s="13" t="s">
        <v>36</v>
      </c>
    </row>
    <row r="45" ht="16.5" spans="1:10">
      <c r="A45" s="5">
        <v>41</v>
      </c>
      <c r="B45" s="5" t="s">
        <v>31</v>
      </c>
      <c r="C45" s="156" t="s">
        <v>32</v>
      </c>
      <c r="D45" s="6">
        <v>16</v>
      </c>
      <c r="E45" s="6">
        <v>1810</v>
      </c>
      <c r="F45" s="6">
        <v>11660</v>
      </c>
      <c r="G45" s="8" t="s">
        <v>33</v>
      </c>
      <c r="H45" s="5">
        <v>1</v>
      </c>
      <c r="I45" s="157">
        <f t="shared" si="1"/>
        <v>2650.73776</v>
      </c>
      <c r="J45" s="13" t="s">
        <v>36</v>
      </c>
    </row>
    <row r="46" ht="16.5" spans="1:10">
      <c r="A46" s="5">
        <v>42</v>
      </c>
      <c r="B46" s="5" t="s">
        <v>31</v>
      </c>
      <c r="C46" s="156" t="s">
        <v>32</v>
      </c>
      <c r="D46" s="6">
        <v>16</v>
      </c>
      <c r="E46" s="6">
        <v>1790</v>
      </c>
      <c r="F46" s="6">
        <v>11450</v>
      </c>
      <c r="G46" s="8" t="s">
        <v>33</v>
      </c>
      <c r="H46" s="5">
        <v>1</v>
      </c>
      <c r="I46" s="157">
        <f t="shared" si="1"/>
        <v>2574.2348</v>
      </c>
      <c r="J46" s="13" t="s">
        <v>36</v>
      </c>
    </row>
    <row r="47" ht="16.5" spans="1:10">
      <c r="A47" s="5">
        <v>43</v>
      </c>
      <c r="B47" s="5" t="s">
        <v>31</v>
      </c>
      <c r="C47" s="156" t="s">
        <v>32</v>
      </c>
      <c r="D47" s="6">
        <v>16</v>
      </c>
      <c r="E47" s="6">
        <v>1930</v>
      </c>
      <c r="F47" s="6">
        <v>12300</v>
      </c>
      <c r="G47" s="8" t="s">
        <v>33</v>
      </c>
      <c r="H47" s="5">
        <v>1</v>
      </c>
      <c r="I47" s="157">
        <f t="shared" ref="I47:I62" si="2">D47*E47*F47*H47*7.85/1000000</f>
        <v>2981.6184</v>
      </c>
      <c r="J47" s="13" t="s">
        <v>36</v>
      </c>
    </row>
    <row r="48" ht="16.5" spans="1:10">
      <c r="A48" s="5">
        <v>44</v>
      </c>
      <c r="B48" s="5" t="s">
        <v>31</v>
      </c>
      <c r="C48" s="156" t="s">
        <v>32</v>
      </c>
      <c r="D48" s="6">
        <v>16</v>
      </c>
      <c r="E48" s="6">
        <v>1900</v>
      </c>
      <c r="F48" s="6">
        <v>6590</v>
      </c>
      <c r="G48" s="8" t="s">
        <v>33</v>
      </c>
      <c r="H48" s="5">
        <v>1</v>
      </c>
      <c r="I48" s="157">
        <f t="shared" si="2"/>
        <v>1572.6376</v>
      </c>
      <c r="J48" s="13" t="s">
        <v>36</v>
      </c>
    </row>
    <row r="49" ht="16.5" spans="1:10">
      <c r="A49" s="5">
        <v>45</v>
      </c>
      <c r="B49" s="5" t="s">
        <v>31</v>
      </c>
      <c r="C49" s="156" t="s">
        <v>32</v>
      </c>
      <c r="D49" s="6">
        <v>16</v>
      </c>
      <c r="E49" s="6">
        <v>1830</v>
      </c>
      <c r="F49" s="6">
        <v>8200</v>
      </c>
      <c r="G49" s="8" t="s">
        <v>33</v>
      </c>
      <c r="H49" s="5">
        <v>1</v>
      </c>
      <c r="I49" s="157">
        <f t="shared" si="2"/>
        <v>1884.7536</v>
      </c>
      <c r="J49" s="13" t="s">
        <v>36</v>
      </c>
    </row>
    <row r="50" ht="16.5" spans="1:10">
      <c r="A50" s="5">
        <v>46</v>
      </c>
      <c r="B50" s="5" t="s">
        <v>31</v>
      </c>
      <c r="C50" s="156" t="s">
        <v>32</v>
      </c>
      <c r="D50" s="6">
        <v>16</v>
      </c>
      <c r="E50" s="6">
        <v>1750</v>
      </c>
      <c r="F50" s="6">
        <v>8070</v>
      </c>
      <c r="G50" s="8" t="s">
        <v>33</v>
      </c>
      <c r="H50" s="5">
        <v>1</v>
      </c>
      <c r="I50" s="157">
        <f t="shared" si="2"/>
        <v>1773.786</v>
      </c>
      <c r="J50" s="13" t="s">
        <v>36</v>
      </c>
    </row>
    <row r="51" ht="16.5" spans="1:10">
      <c r="A51" s="5">
        <v>47</v>
      </c>
      <c r="B51" s="5" t="s">
        <v>31</v>
      </c>
      <c r="C51" s="156" t="s">
        <v>32</v>
      </c>
      <c r="D51" s="6">
        <v>16</v>
      </c>
      <c r="E51" s="6">
        <v>1760</v>
      </c>
      <c r="F51" s="6">
        <v>8020</v>
      </c>
      <c r="G51" s="8" t="s">
        <v>33</v>
      </c>
      <c r="H51" s="5">
        <v>1</v>
      </c>
      <c r="I51" s="157">
        <f t="shared" si="2"/>
        <v>1772.86912</v>
      </c>
      <c r="J51" s="13" t="s">
        <v>36</v>
      </c>
    </row>
    <row r="52" ht="16.5" spans="1:10">
      <c r="A52" s="5">
        <v>48</v>
      </c>
      <c r="B52" s="5" t="s">
        <v>31</v>
      </c>
      <c r="C52" s="156" t="s">
        <v>32</v>
      </c>
      <c r="D52" s="6">
        <v>16</v>
      </c>
      <c r="E52" s="6">
        <v>1790</v>
      </c>
      <c r="F52" s="6">
        <v>7890</v>
      </c>
      <c r="G52" s="8" t="s">
        <v>33</v>
      </c>
      <c r="H52" s="5">
        <v>1</v>
      </c>
      <c r="I52" s="157">
        <f t="shared" si="2"/>
        <v>1773.86136</v>
      </c>
      <c r="J52" s="13" t="s">
        <v>36</v>
      </c>
    </row>
    <row r="53" ht="16.5" spans="1:10">
      <c r="A53" s="5">
        <v>49</v>
      </c>
      <c r="B53" s="5" t="s">
        <v>31</v>
      </c>
      <c r="C53" s="156" t="s">
        <v>32</v>
      </c>
      <c r="D53" s="6">
        <v>16</v>
      </c>
      <c r="E53" s="6">
        <v>1820</v>
      </c>
      <c r="F53" s="6">
        <v>11100</v>
      </c>
      <c r="G53" s="8" t="s">
        <v>33</v>
      </c>
      <c r="H53" s="5">
        <v>1</v>
      </c>
      <c r="I53" s="157">
        <f t="shared" si="2"/>
        <v>2537.3712</v>
      </c>
      <c r="J53" s="13" t="s">
        <v>36</v>
      </c>
    </row>
    <row r="54" ht="16.5" spans="1:10">
      <c r="A54" s="5">
        <v>50</v>
      </c>
      <c r="B54" s="5" t="s">
        <v>31</v>
      </c>
      <c r="C54" s="156" t="s">
        <v>32</v>
      </c>
      <c r="D54" s="6">
        <v>16</v>
      </c>
      <c r="E54" s="6">
        <v>1870</v>
      </c>
      <c r="F54" s="6">
        <v>12570</v>
      </c>
      <c r="G54" s="8" t="s">
        <v>33</v>
      </c>
      <c r="H54" s="5">
        <v>1</v>
      </c>
      <c r="I54" s="157">
        <f t="shared" si="2"/>
        <v>2952.34104</v>
      </c>
      <c r="J54" s="13" t="s">
        <v>36</v>
      </c>
    </row>
    <row r="55" ht="16.5" spans="1:10">
      <c r="A55" s="5">
        <v>51</v>
      </c>
      <c r="B55" s="5" t="s">
        <v>31</v>
      </c>
      <c r="C55" s="156" t="s">
        <v>32</v>
      </c>
      <c r="D55" s="6">
        <v>16</v>
      </c>
      <c r="E55" s="6">
        <v>1980</v>
      </c>
      <c r="F55" s="6">
        <v>8820</v>
      </c>
      <c r="G55" s="8" t="s">
        <v>33</v>
      </c>
      <c r="H55" s="5">
        <v>1</v>
      </c>
      <c r="I55" s="157">
        <f t="shared" si="2"/>
        <v>2193.42816</v>
      </c>
      <c r="J55" s="13" t="s">
        <v>36</v>
      </c>
    </row>
    <row r="56" ht="16.5" spans="1:10">
      <c r="A56" s="5">
        <v>52</v>
      </c>
      <c r="B56" s="5" t="s">
        <v>31</v>
      </c>
      <c r="C56" s="156" t="s">
        <v>32</v>
      </c>
      <c r="D56" s="6">
        <v>12</v>
      </c>
      <c r="E56" s="6">
        <v>1960</v>
      </c>
      <c r="F56" s="6">
        <v>11420</v>
      </c>
      <c r="G56" s="8" t="s">
        <v>33</v>
      </c>
      <c r="H56" s="5">
        <v>1</v>
      </c>
      <c r="I56" s="50">
        <f t="shared" si="2"/>
        <v>2108.49744</v>
      </c>
      <c r="J56" s="13" t="s">
        <v>15</v>
      </c>
    </row>
    <row r="57" ht="16.5" spans="1:10">
      <c r="A57" s="5">
        <v>53</v>
      </c>
      <c r="B57" s="5" t="s">
        <v>31</v>
      </c>
      <c r="C57" s="156" t="s">
        <v>32</v>
      </c>
      <c r="D57" s="6">
        <v>12</v>
      </c>
      <c r="E57" s="6">
        <v>1950</v>
      </c>
      <c r="F57" s="6">
        <v>10020</v>
      </c>
      <c r="G57" s="8" t="s">
        <v>33</v>
      </c>
      <c r="H57" s="5">
        <v>2</v>
      </c>
      <c r="I57" s="50">
        <f t="shared" si="2"/>
        <v>3681.1476</v>
      </c>
      <c r="J57" s="13" t="s">
        <v>16</v>
      </c>
    </row>
    <row r="58" ht="16.5" spans="1:10">
      <c r="A58" s="5">
        <v>54</v>
      </c>
      <c r="B58" s="5" t="s">
        <v>31</v>
      </c>
      <c r="C58" s="156" t="s">
        <v>32</v>
      </c>
      <c r="D58" s="6">
        <v>12</v>
      </c>
      <c r="E58" s="6">
        <v>1780</v>
      </c>
      <c r="F58" s="6">
        <v>6390</v>
      </c>
      <c r="G58" s="8" t="s">
        <v>33</v>
      </c>
      <c r="H58" s="5">
        <v>1</v>
      </c>
      <c r="I58" s="50">
        <f t="shared" si="2"/>
        <v>1071.44964</v>
      </c>
      <c r="J58" s="13" t="s">
        <v>17</v>
      </c>
    </row>
    <row r="59" ht="16.5" spans="1:10">
      <c r="A59" s="5">
        <v>55</v>
      </c>
      <c r="B59" s="5" t="s">
        <v>31</v>
      </c>
      <c r="C59" s="156" t="s">
        <v>32</v>
      </c>
      <c r="D59" s="6">
        <v>16</v>
      </c>
      <c r="E59" s="6">
        <v>1950</v>
      </c>
      <c r="F59" s="6">
        <v>9720</v>
      </c>
      <c r="G59" s="8" t="s">
        <v>33</v>
      </c>
      <c r="H59" s="5">
        <v>5</v>
      </c>
      <c r="I59" s="50">
        <f t="shared" si="2"/>
        <v>11903.112</v>
      </c>
      <c r="J59" s="13" t="s">
        <v>19</v>
      </c>
    </row>
    <row r="60" ht="16.5" spans="1:10">
      <c r="A60" s="5">
        <v>56</v>
      </c>
      <c r="B60" s="5" t="s">
        <v>31</v>
      </c>
      <c r="C60" s="156" t="s">
        <v>32</v>
      </c>
      <c r="D60" s="6">
        <v>16</v>
      </c>
      <c r="E60" s="6">
        <v>1720</v>
      </c>
      <c r="F60" s="6">
        <v>9800</v>
      </c>
      <c r="G60" s="8" t="s">
        <v>33</v>
      </c>
      <c r="H60" s="5">
        <v>8</v>
      </c>
      <c r="I60" s="157">
        <f t="shared" si="2"/>
        <v>16936.9088</v>
      </c>
      <c r="J60" s="13" t="s">
        <v>14</v>
      </c>
    </row>
    <row r="61" ht="16.5" spans="1:10">
      <c r="A61" s="5">
        <v>57</v>
      </c>
      <c r="B61" s="5" t="s">
        <v>31</v>
      </c>
      <c r="C61" s="156" t="s">
        <v>37</v>
      </c>
      <c r="D61" s="6">
        <v>16</v>
      </c>
      <c r="E61" s="6">
        <v>1800</v>
      </c>
      <c r="F61" s="6">
        <v>9230</v>
      </c>
      <c r="G61" s="8" t="s">
        <v>33</v>
      </c>
      <c r="H61" s="5">
        <v>2</v>
      </c>
      <c r="I61" s="50">
        <f t="shared" si="2"/>
        <v>4173.4368</v>
      </c>
      <c r="J61" s="13" t="s">
        <v>38</v>
      </c>
    </row>
    <row r="62" ht="16.5" spans="1:10">
      <c r="A62" s="5">
        <v>58</v>
      </c>
      <c r="B62" s="5" t="s">
        <v>31</v>
      </c>
      <c r="C62" s="156" t="s">
        <v>39</v>
      </c>
      <c r="D62" s="6">
        <v>16</v>
      </c>
      <c r="E62" s="6">
        <v>1990</v>
      </c>
      <c r="F62" s="6">
        <v>10800</v>
      </c>
      <c r="G62" s="8" t="s">
        <v>33</v>
      </c>
      <c r="H62" s="5">
        <v>1</v>
      </c>
      <c r="I62" s="157">
        <f t="shared" si="2"/>
        <v>2699.3952</v>
      </c>
      <c r="J62" s="13" t="s">
        <v>38</v>
      </c>
    </row>
    <row r="63" ht="16.5" spans="1:11">
      <c r="A63" s="5" t="s">
        <v>40</v>
      </c>
      <c r="B63" s="5"/>
      <c r="C63" s="5"/>
      <c r="D63" s="5"/>
      <c r="E63" s="5"/>
      <c r="F63" s="5"/>
      <c r="G63" s="5"/>
      <c r="H63" s="5"/>
      <c r="I63" s="50">
        <f>SUM(I5:I62)</f>
        <v>156218.190240001</v>
      </c>
      <c r="J63" s="13"/>
      <c r="K63">
        <v>149600.73</v>
      </c>
    </row>
    <row r="64" ht="16.5" spans="1:10">
      <c r="A64" s="22" t="s">
        <v>41</v>
      </c>
      <c r="B64" s="22"/>
      <c r="C64" s="22"/>
      <c r="D64" s="22"/>
      <c r="E64" s="22"/>
      <c r="F64" s="22"/>
      <c r="G64" s="22"/>
      <c r="H64" s="22"/>
      <c r="I64" s="22"/>
      <c r="J64" s="22"/>
    </row>
    <row r="65" ht="16.5" spans="1:10">
      <c r="A65" s="22" t="s">
        <v>42</v>
      </c>
      <c r="B65" s="22"/>
      <c r="C65" s="22"/>
      <c r="D65" s="22"/>
      <c r="E65" s="22"/>
      <c r="F65" s="22"/>
      <c r="G65" s="22"/>
      <c r="H65" s="22"/>
      <c r="I65" s="22"/>
      <c r="J65" s="22"/>
    </row>
    <row r="66" ht="16.5" spans="1:10">
      <c r="A66" s="16" t="s">
        <v>43</v>
      </c>
      <c r="B66" s="16"/>
      <c r="C66" s="16"/>
      <c r="D66" s="16"/>
      <c r="E66" s="16"/>
      <c r="F66" s="16"/>
      <c r="G66" s="16"/>
      <c r="H66" s="16"/>
      <c r="I66" s="16"/>
      <c r="J66" s="16"/>
    </row>
  </sheetData>
  <autoFilter ref="A4:L66">
    <extLst/>
  </autoFilter>
  <mergeCells count="6">
    <mergeCell ref="A1:J1"/>
    <mergeCell ref="A2:F2"/>
    <mergeCell ref="A63:H63"/>
    <mergeCell ref="A64:J64"/>
    <mergeCell ref="A65:J65"/>
    <mergeCell ref="A66:J66"/>
  </mergeCells>
  <pageMargins left="0.75" right="0.75" top="1" bottom="1" header="0.5" footer="0.5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1"/>
  <dimension ref="A1:I14"/>
  <sheetViews>
    <sheetView workbookViewId="0">
      <selection activeCell="O206" sqref="O206"/>
    </sheetView>
  </sheetViews>
  <sheetFormatPr defaultColWidth="9" defaultRowHeight="13.5"/>
  <sheetData>
    <row r="1" spans="1:7">
      <c r="A1" s="65" t="s">
        <v>0</v>
      </c>
      <c r="B1" s="65" t="s">
        <v>24</v>
      </c>
      <c r="C1" s="65" t="s">
        <v>1</v>
      </c>
      <c r="D1" s="88"/>
      <c r="E1" s="88"/>
      <c r="F1" s="65" t="s">
        <v>2</v>
      </c>
      <c r="G1" s="65" t="s">
        <v>3</v>
      </c>
    </row>
    <row r="2" ht="27" spans="1:7">
      <c r="A2" s="88"/>
      <c r="B2" s="88"/>
      <c r="C2" s="65" t="s">
        <v>8</v>
      </c>
      <c r="D2" s="65" t="s">
        <v>9</v>
      </c>
      <c r="E2" s="65" t="s">
        <v>10</v>
      </c>
      <c r="F2" s="88"/>
      <c r="G2" s="88"/>
    </row>
    <row r="3" spans="1:7">
      <c r="A3" s="65" t="s">
        <v>15</v>
      </c>
      <c r="B3" s="65" t="s">
        <v>32</v>
      </c>
      <c r="C3" s="90" t="s">
        <v>99</v>
      </c>
      <c r="D3" s="90" t="s">
        <v>100</v>
      </c>
      <c r="E3" s="90" t="s">
        <v>101</v>
      </c>
      <c r="F3" s="128">
        <v>70</v>
      </c>
      <c r="G3" s="49">
        <v>3</v>
      </c>
    </row>
    <row r="4" spans="1:7">
      <c r="A4" s="65" t="s">
        <v>16</v>
      </c>
      <c r="B4" s="65" t="s">
        <v>32</v>
      </c>
      <c r="C4" s="90" t="s">
        <v>99</v>
      </c>
      <c r="D4" s="90" t="s">
        <v>102</v>
      </c>
      <c r="E4" s="90">
        <v>2500</v>
      </c>
      <c r="F4" s="128">
        <v>35</v>
      </c>
      <c r="G4" s="49"/>
    </row>
    <row r="5" spans="1:7">
      <c r="A5" s="65" t="s">
        <v>17</v>
      </c>
      <c r="B5" s="65" t="s">
        <v>32</v>
      </c>
      <c r="C5" s="90" t="s">
        <v>99</v>
      </c>
      <c r="D5" s="90">
        <v>340</v>
      </c>
      <c r="E5" s="90" t="s">
        <v>228</v>
      </c>
      <c r="F5" s="128">
        <v>70</v>
      </c>
      <c r="G5" s="49"/>
    </row>
    <row r="6" spans="1:7">
      <c r="A6" s="65" t="s">
        <v>15</v>
      </c>
      <c r="B6" s="65" t="s">
        <v>32</v>
      </c>
      <c r="C6" s="90" t="s">
        <v>99</v>
      </c>
      <c r="D6" s="90" t="s">
        <v>100</v>
      </c>
      <c r="E6" s="90" t="s">
        <v>101</v>
      </c>
      <c r="F6" s="128">
        <v>102</v>
      </c>
      <c r="G6" s="49">
        <v>8</v>
      </c>
    </row>
    <row r="7" spans="1:7">
      <c r="A7" s="65" t="s">
        <v>16</v>
      </c>
      <c r="B7" s="65" t="s">
        <v>32</v>
      </c>
      <c r="C7" s="90" t="s">
        <v>99</v>
      </c>
      <c r="D7" s="90" t="s">
        <v>102</v>
      </c>
      <c r="E7" s="90">
        <v>2500</v>
      </c>
      <c r="F7" s="128">
        <v>51</v>
      </c>
      <c r="G7" s="49"/>
    </row>
    <row r="8" spans="1:7">
      <c r="A8" s="65" t="s">
        <v>17</v>
      </c>
      <c r="B8" s="65" t="s">
        <v>32</v>
      </c>
      <c r="C8" s="90" t="s">
        <v>99</v>
      </c>
      <c r="D8" s="90">
        <v>340</v>
      </c>
      <c r="E8" s="90" t="s">
        <v>228</v>
      </c>
      <c r="F8" s="128">
        <v>102</v>
      </c>
      <c r="G8" s="49"/>
    </row>
    <row r="9" spans="1:7">
      <c r="A9" s="69" t="s">
        <v>15</v>
      </c>
      <c r="B9" s="69" t="s">
        <v>32</v>
      </c>
      <c r="C9" s="72" t="s">
        <v>99</v>
      </c>
      <c r="D9" s="72" t="s">
        <v>100</v>
      </c>
      <c r="E9" s="72" t="s">
        <v>101</v>
      </c>
      <c r="F9" s="128">
        <v>102</v>
      </c>
      <c r="G9" s="49">
        <v>16</v>
      </c>
    </row>
    <row r="10" spans="1:7">
      <c r="A10" s="69" t="s">
        <v>16</v>
      </c>
      <c r="B10" s="69" t="s">
        <v>32</v>
      </c>
      <c r="C10" s="72" t="s">
        <v>99</v>
      </c>
      <c r="D10" s="72" t="s">
        <v>102</v>
      </c>
      <c r="E10" s="72">
        <v>2500</v>
      </c>
      <c r="F10" s="128">
        <v>51</v>
      </c>
      <c r="G10" s="49"/>
    </row>
    <row r="11" spans="1:7">
      <c r="A11" s="65" t="s">
        <v>17</v>
      </c>
      <c r="B11" s="65" t="s">
        <v>32</v>
      </c>
      <c r="C11" s="90" t="s">
        <v>99</v>
      </c>
      <c r="D11" s="90">
        <v>340</v>
      </c>
      <c r="E11" s="90" t="s">
        <v>228</v>
      </c>
      <c r="F11" s="128">
        <v>102</v>
      </c>
      <c r="G11" s="49"/>
    </row>
    <row r="12" spans="1:9">
      <c r="A12" s="69" t="s">
        <v>15</v>
      </c>
      <c r="B12" s="69" t="s">
        <v>32</v>
      </c>
      <c r="C12" s="72" t="s">
        <v>99</v>
      </c>
      <c r="D12" s="72" t="s">
        <v>100</v>
      </c>
      <c r="E12" s="72" t="s">
        <v>101</v>
      </c>
      <c r="F12" s="128">
        <v>118</v>
      </c>
      <c r="G12" s="49">
        <v>18</v>
      </c>
      <c r="H12">
        <f>F12+F9+F6+F3</f>
        <v>392</v>
      </c>
      <c r="I12">
        <v>399</v>
      </c>
    </row>
    <row r="13" spans="1:9">
      <c r="A13" s="69" t="s">
        <v>16</v>
      </c>
      <c r="B13" s="69" t="s">
        <v>32</v>
      </c>
      <c r="C13" s="72" t="s">
        <v>99</v>
      </c>
      <c r="D13" s="72" t="s">
        <v>102</v>
      </c>
      <c r="E13" s="72">
        <v>2500</v>
      </c>
      <c r="F13" s="128">
        <v>59</v>
      </c>
      <c r="G13" s="49"/>
      <c r="H13">
        <f>F13+F10+F7+F4</f>
        <v>196</v>
      </c>
      <c r="I13">
        <v>401</v>
      </c>
    </row>
    <row r="14" spans="1:9">
      <c r="A14" s="65" t="s">
        <v>17</v>
      </c>
      <c r="B14" s="65" t="s">
        <v>32</v>
      </c>
      <c r="C14" s="90" t="s">
        <v>99</v>
      </c>
      <c r="D14" s="90">
        <v>340</v>
      </c>
      <c r="E14" s="90" t="s">
        <v>228</v>
      </c>
      <c r="F14" s="128">
        <v>118</v>
      </c>
      <c r="G14" s="49"/>
      <c r="H14">
        <f>F14+F11+F8+F5</f>
        <v>392</v>
      </c>
      <c r="I14">
        <v>198</v>
      </c>
    </row>
  </sheetData>
  <autoFilter ref="A1:G14">
    <extLst/>
  </autoFilter>
  <mergeCells count="8">
    <mergeCell ref="A1:A2"/>
    <mergeCell ref="B1:B2"/>
    <mergeCell ref="F1:F2"/>
    <mergeCell ref="G1:G2"/>
    <mergeCell ref="G3:G5"/>
    <mergeCell ref="G6:G8"/>
    <mergeCell ref="G9:G11"/>
    <mergeCell ref="G12:G14"/>
  </mergeCells>
  <pageMargins left="0.75" right="0.75" top="1" bottom="1" header="0.5" footer="0.5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2"/>
  <dimension ref="A1:P231"/>
  <sheetViews>
    <sheetView zoomScale="70" zoomScaleNormal="70" topLeftCell="A216" workbookViewId="0">
      <selection activeCell="O206" sqref="O206"/>
    </sheetView>
  </sheetViews>
  <sheetFormatPr defaultColWidth="9" defaultRowHeight="13.5"/>
  <cols>
    <col min="1" max="1" width="11.6333333333333" customWidth="1"/>
    <col min="2" max="2" width="9" customWidth="1"/>
    <col min="3" max="3" width="12.3833333333333" customWidth="1"/>
    <col min="6" max="6" width="13"/>
    <col min="7" max="7" width="11.5" customWidth="1"/>
    <col min="8" max="8" width="10.25" customWidth="1"/>
    <col min="9" max="9" width="9.44166666666667"/>
    <col min="10" max="10" width="14.4416666666667"/>
    <col min="11" max="11" width="12.8916666666667"/>
    <col min="12" max="13" width="13"/>
    <col min="15" max="15" width="10.6666666666667"/>
  </cols>
  <sheetData>
    <row r="1" ht="24" customHeight="1" spans="1:1">
      <c r="A1" t="s">
        <v>229</v>
      </c>
    </row>
    <row r="2" ht="24" customHeight="1" spans="1:14">
      <c r="A2" s="83" t="s">
        <v>0</v>
      </c>
      <c r="B2" s="84" t="s">
        <v>24</v>
      </c>
      <c r="C2" s="84" t="s">
        <v>1</v>
      </c>
      <c r="D2" s="85"/>
      <c r="E2" s="85"/>
      <c r="F2" s="84" t="s">
        <v>2</v>
      </c>
      <c r="G2" s="84" t="s">
        <v>3</v>
      </c>
      <c r="H2" s="86" t="s">
        <v>30</v>
      </c>
      <c r="I2" s="66" t="s">
        <v>230</v>
      </c>
      <c r="J2" s="66"/>
      <c r="K2" s="66"/>
      <c r="L2" s="66"/>
      <c r="M2" s="66"/>
      <c r="N2" s="66"/>
    </row>
    <row r="3" ht="24" customHeight="1" spans="1:14">
      <c r="A3" s="87"/>
      <c r="B3" s="88"/>
      <c r="C3" s="65" t="s">
        <v>8</v>
      </c>
      <c r="D3" s="65" t="s">
        <v>9</v>
      </c>
      <c r="E3" s="65" t="s">
        <v>10</v>
      </c>
      <c r="F3" s="88"/>
      <c r="G3" s="88"/>
      <c r="H3" s="89"/>
      <c r="I3" s="66" t="s">
        <v>4</v>
      </c>
      <c r="J3" s="66" t="s">
        <v>5</v>
      </c>
      <c r="K3" s="66" t="s">
        <v>6</v>
      </c>
      <c r="L3" s="66" t="s">
        <v>3</v>
      </c>
      <c r="M3" s="66" t="s">
        <v>7</v>
      </c>
      <c r="N3" s="68" t="s">
        <v>30</v>
      </c>
    </row>
    <row r="4" ht="24" customHeight="1" spans="1:14">
      <c r="A4" s="71" t="s">
        <v>11</v>
      </c>
      <c r="B4" s="65" t="s">
        <v>32</v>
      </c>
      <c r="C4" s="90" t="s">
        <v>96</v>
      </c>
      <c r="D4" s="90">
        <v>4500</v>
      </c>
      <c r="E4" s="91">
        <f>82460+50+5*10+200</f>
        <v>82760</v>
      </c>
      <c r="F4" s="90" t="s">
        <v>97</v>
      </c>
      <c r="G4" s="92">
        <f t="shared" ref="G4:G11" si="0">E4*D4*C4*7850/1000000000*F4</f>
        <v>46775.952</v>
      </c>
      <c r="H4" s="93" t="s">
        <v>113</v>
      </c>
      <c r="I4" s="66"/>
      <c r="J4" s="66"/>
      <c r="K4" s="66"/>
      <c r="L4" s="66"/>
      <c r="M4" s="66"/>
      <c r="N4" s="68"/>
    </row>
    <row r="5" ht="24" customHeight="1" spans="1:15">
      <c r="A5" s="71" t="s">
        <v>231</v>
      </c>
      <c r="B5" s="65" t="s">
        <v>32</v>
      </c>
      <c r="C5" s="72">
        <v>16</v>
      </c>
      <c r="D5" s="72">
        <v>600</v>
      </c>
      <c r="E5" s="72">
        <f>E4</f>
        <v>82760</v>
      </c>
      <c r="F5" s="72">
        <v>4</v>
      </c>
      <c r="G5" s="73">
        <f t="shared" si="0"/>
        <v>24947.1744</v>
      </c>
      <c r="H5" s="93"/>
      <c r="I5" s="98">
        <f>E5*F5/1000</f>
        <v>331.04</v>
      </c>
      <c r="J5" s="99">
        <f>E6*F6/5/L6</f>
        <v>8276</v>
      </c>
      <c r="K5" s="66"/>
      <c r="L5" s="66"/>
      <c r="M5" s="66"/>
      <c r="N5" s="68"/>
      <c r="O5" s="71"/>
    </row>
    <row r="6" ht="24" customHeight="1" spans="1:16">
      <c r="A6" s="71" t="s">
        <v>232</v>
      </c>
      <c r="B6" s="65" t="s">
        <v>32</v>
      </c>
      <c r="C6" s="72">
        <v>16</v>
      </c>
      <c r="D6" s="72">
        <v>340</v>
      </c>
      <c r="E6" s="72">
        <f>E5</f>
        <v>82760</v>
      </c>
      <c r="F6" s="72">
        <v>4</v>
      </c>
      <c r="G6" s="73">
        <f t="shared" si="0"/>
        <v>14136.73216</v>
      </c>
      <c r="H6" s="94"/>
      <c r="I6" s="66">
        <v>16</v>
      </c>
      <c r="J6" s="66">
        <f>340*5+10</f>
        <v>1710</v>
      </c>
      <c r="K6" s="66">
        <v>8300</v>
      </c>
      <c r="L6" s="66">
        <v>8</v>
      </c>
      <c r="M6" s="67">
        <f t="shared" ref="M6:M11" si="1">L6*K6*J6*I6*7.85/1000000</f>
        <v>14261.1264</v>
      </c>
      <c r="N6" s="68" t="s">
        <v>232</v>
      </c>
      <c r="O6">
        <f>K6*L6*5</f>
        <v>332000</v>
      </c>
      <c r="P6" t="s">
        <v>233</v>
      </c>
    </row>
    <row r="7" ht="24" customHeight="1" spans="1:14">
      <c r="A7" s="71" t="s">
        <v>15</v>
      </c>
      <c r="B7" s="65" t="s">
        <v>32</v>
      </c>
      <c r="C7" s="90" t="s">
        <v>99</v>
      </c>
      <c r="D7" s="90" t="s">
        <v>100</v>
      </c>
      <c r="E7" s="90" t="s">
        <v>101</v>
      </c>
      <c r="F7" s="90">
        <f>F8*2</f>
        <v>86</v>
      </c>
      <c r="G7" s="92">
        <f t="shared" si="0"/>
        <v>1417.2563328</v>
      </c>
      <c r="H7" s="94"/>
      <c r="I7" s="66">
        <v>12</v>
      </c>
      <c r="J7" s="66">
        <v>1500</v>
      </c>
      <c r="K7" s="66">
        <v>10250</v>
      </c>
      <c r="L7" s="66">
        <v>1</v>
      </c>
      <c r="M7" s="67">
        <f t="shared" si="1"/>
        <v>1448.325</v>
      </c>
      <c r="N7" s="69" t="s">
        <v>234</v>
      </c>
    </row>
    <row r="8" ht="24" customHeight="1" spans="1:14">
      <c r="A8" s="71" t="s">
        <v>16</v>
      </c>
      <c r="B8" s="65" t="s">
        <v>32</v>
      </c>
      <c r="C8" s="90" t="s">
        <v>99</v>
      </c>
      <c r="D8" s="90" t="s">
        <v>102</v>
      </c>
      <c r="E8" s="90">
        <v>2500</v>
      </c>
      <c r="F8" s="91">
        <v>43</v>
      </c>
      <c r="G8" s="92">
        <f t="shared" si="0"/>
        <v>3280.986</v>
      </c>
      <c r="H8" s="94"/>
      <c r="I8" s="66">
        <v>12</v>
      </c>
      <c r="J8" s="66">
        <v>1960</v>
      </c>
      <c r="K8" s="66">
        <v>10020</v>
      </c>
      <c r="L8" s="66">
        <v>1</v>
      </c>
      <c r="M8" s="67">
        <f t="shared" si="1"/>
        <v>1850.01264</v>
      </c>
      <c r="N8" s="68" t="s">
        <v>16</v>
      </c>
    </row>
    <row r="9" ht="24" customHeight="1" spans="1:14">
      <c r="A9" s="71" t="s">
        <v>17</v>
      </c>
      <c r="B9" s="65" t="s">
        <v>32</v>
      </c>
      <c r="C9" s="90" t="s">
        <v>99</v>
      </c>
      <c r="D9" s="90">
        <v>340</v>
      </c>
      <c r="E9" s="90" t="s">
        <v>228</v>
      </c>
      <c r="F9" s="90">
        <f>F8*2</f>
        <v>86</v>
      </c>
      <c r="G9" s="92">
        <f t="shared" si="0"/>
        <v>1101.7632</v>
      </c>
      <c r="H9" s="94"/>
      <c r="I9" s="66">
        <v>12</v>
      </c>
      <c r="J9" s="66">
        <v>1960</v>
      </c>
      <c r="K9" s="66">
        <v>7520</v>
      </c>
      <c r="L9" s="66">
        <v>1</v>
      </c>
      <c r="M9" s="67">
        <f t="shared" si="1"/>
        <v>1388.43264</v>
      </c>
      <c r="N9" s="68" t="s">
        <v>16</v>
      </c>
    </row>
    <row r="10" ht="24" customHeight="1" spans="1:14">
      <c r="A10" s="71" t="s">
        <v>18</v>
      </c>
      <c r="B10" s="65" t="s">
        <v>32</v>
      </c>
      <c r="C10" s="90" t="s">
        <v>96</v>
      </c>
      <c r="D10" s="90">
        <v>2500</v>
      </c>
      <c r="E10" s="90">
        <f>E4</f>
        <v>82760</v>
      </c>
      <c r="F10" s="90">
        <v>1</v>
      </c>
      <c r="G10" s="92">
        <f t="shared" si="0"/>
        <v>25986.64</v>
      </c>
      <c r="H10" s="94"/>
      <c r="I10" s="66">
        <v>12</v>
      </c>
      <c r="J10" s="66">
        <v>1500</v>
      </c>
      <c r="K10" s="66">
        <v>8550</v>
      </c>
      <c r="L10" s="66">
        <v>1</v>
      </c>
      <c r="M10" s="67">
        <f t="shared" si="1"/>
        <v>1208.115</v>
      </c>
      <c r="N10" s="68" t="s">
        <v>17</v>
      </c>
    </row>
    <row r="11" ht="24" customHeight="1" spans="1:16">
      <c r="A11" s="71" t="s">
        <v>19</v>
      </c>
      <c r="B11" s="65" t="s">
        <v>32</v>
      </c>
      <c r="C11" s="90" t="s">
        <v>96</v>
      </c>
      <c r="D11" s="90" t="s">
        <v>103</v>
      </c>
      <c r="E11" s="90">
        <f>E4</f>
        <v>82760</v>
      </c>
      <c r="F11" s="90">
        <v>2</v>
      </c>
      <c r="G11" s="92">
        <f t="shared" si="0"/>
        <v>10020.448384</v>
      </c>
      <c r="H11" s="94"/>
      <c r="I11" s="66">
        <v>16</v>
      </c>
      <c r="J11" s="66">
        <v>1940</v>
      </c>
      <c r="K11" s="66">
        <v>8300</v>
      </c>
      <c r="L11" s="66">
        <v>5</v>
      </c>
      <c r="M11" s="67">
        <f t="shared" si="1"/>
        <v>10112.056</v>
      </c>
      <c r="N11" s="69" t="s">
        <v>19</v>
      </c>
      <c r="O11">
        <f>K11*L11*4</f>
        <v>166000</v>
      </c>
      <c r="P11" t="s">
        <v>233</v>
      </c>
    </row>
    <row r="12" ht="24" customHeight="1" spans="9:14">
      <c r="I12" s="98">
        <f>E11*F11/1000</f>
        <v>165.52</v>
      </c>
      <c r="J12" s="100">
        <f>E11*F11/4/L11</f>
        <v>8276</v>
      </c>
      <c r="K12" s="101">
        <f>(M12-L12)/L12</f>
        <v>0.0103775301993654</v>
      </c>
      <c r="L12" s="102">
        <f>SUM(G6:G9,G11)</f>
        <v>29957.1860768</v>
      </c>
      <c r="M12" s="102">
        <f>SUM(M6:M11)</f>
        <v>30268.06768</v>
      </c>
      <c r="N12" s="82"/>
    </row>
    <row r="13" ht="24" customHeight="1" spans="1:1">
      <c r="A13" t="s">
        <v>235</v>
      </c>
    </row>
    <row r="14" ht="24" customHeight="1" spans="1:14">
      <c r="A14" s="83" t="s">
        <v>0</v>
      </c>
      <c r="B14" s="84" t="s">
        <v>24</v>
      </c>
      <c r="C14" s="84" t="s">
        <v>1</v>
      </c>
      <c r="D14" s="85"/>
      <c r="E14" s="85"/>
      <c r="F14" s="84" t="s">
        <v>2</v>
      </c>
      <c r="G14" s="84" t="s">
        <v>3</v>
      </c>
      <c r="H14" s="86" t="s">
        <v>30</v>
      </c>
      <c r="I14" s="66" t="s">
        <v>236</v>
      </c>
      <c r="J14" s="66"/>
      <c r="K14" s="66"/>
      <c r="L14" s="66"/>
      <c r="M14" s="66"/>
      <c r="N14" s="66"/>
    </row>
    <row r="15" ht="24" customHeight="1" spans="1:14">
      <c r="A15" s="87"/>
      <c r="B15" s="88"/>
      <c r="C15" s="65" t="s">
        <v>8</v>
      </c>
      <c r="D15" s="65" t="s">
        <v>9</v>
      </c>
      <c r="E15" s="65" t="s">
        <v>10</v>
      </c>
      <c r="F15" s="88"/>
      <c r="G15" s="88"/>
      <c r="H15" s="89"/>
      <c r="I15" s="66" t="s">
        <v>4</v>
      </c>
      <c r="J15" s="66" t="s">
        <v>5</v>
      </c>
      <c r="K15" s="66" t="s">
        <v>6</v>
      </c>
      <c r="L15" s="66" t="s">
        <v>3</v>
      </c>
      <c r="M15" s="66" t="s">
        <v>7</v>
      </c>
      <c r="N15" s="68" t="s">
        <v>30</v>
      </c>
    </row>
    <row r="16" ht="24" customHeight="1" spans="1:14">
      <c r="A16" s="71" t="s">
        <v>11</v>
      </c>
      <c r="B16" s="65" t="s">
        <v>32</v>
      </c>
      <c r="C16" s="90" t="s">
        <v>96</v>
      </c>
      <c r="D16" s="90">
        <v>4500</v>
      </c>
      <c r="E16" s="91">
        <f>81960+50+10*5+200</f>
        <v>82260</v>
      </c>
      <c r="F16" s="90" t="s">
        <v>97</v>
      </c>
      <c r="G16" s="92">
        <f t="shared" ref="G16:G23" si="2">E16*D16*C16*7850/1000000000*F16</f>
        <v>46493.352</v>
      </c>
      <c r="H16" s="94" t="s">
        <v>121</v>
      </c>
      <c r="I16" s="66"/>
      <c r="J16" s="66"/>
      <c r="K16" s="66"/>
      <c r="L16" s="66"/>
      <c r="M16" s="66"/>
      <c r="N16" s="68"/>
    </row>
    <row r="17" ht="24" customHeight="1" spans="1:14">
      <c r="A17" s="71" t="s">
        <v>231</v>
      </c>
      <c r="B17" s="65" t="s">
        <v>32</v>
      </c>
      <c r="C17" s="72">
        <v>16</v>
      </c>
      <c r="D17" s="72">
        <v>600</v>
      </c>
      <c r="E17" s="72">
        <f>E16</f>
        <v>82260</v>
      </c>
      <c r="F17" s="72">
        <v>4</v>
      </c>
      <c r="G17" s="73">
        <f t="shared" si="2"/>
        <v>24796.4544</v>
      </c>
      <c r="H17" s="94"/>
      <c r="I17" s="98">
        <f>E17*F17/1000</f>
        <v>329.04</v>
      </c>
      <c r="J17" s="99">
        <f>E18*F18/5/L18</f>
        <v>8226</v>
      </c>
      <c r="K17" s="66"/>
      <c r="L17" s="66"/>
      <c r="M17" s="66"/>
      <c r="N17" s="68"/>
    </row>
    <row r="18" ht="24" customHeight="1" spans="1:16">
      <c r="A18" s="71" t="s">
        <v>232</v>
      </c>
      <c r="B18" s="65" t="s">
        <v>32</v>
      </c>
      <c r="C18" s="72">
        <v>16</v>
      </c>
      <c r="D18" s="72">
        <v>340</v>
      </c>
      <c r="E18" s="72">
        <f>E17</f>
        <v>82260</v>
      </c>
      <c r="F18" s="72">
        <v>4</v>
      </c>
      <c r="G18" s="73">
        <f t="shared" si="2"/>
        <v>14051.32416</v>
      </c>
      <c r="H18" s="94"/>
      <c r="I18" s="66">
        <v>16</v>
      </c>
      <c r="J18" s="66">
        <f>340*5+10</f>
        <v>1710</v>
      </c>
      <c r="K18" s="66">
        <v>8250</v>
      </c>
      <c r="L18" s="66">
        <v>8</v>
      </c>
      <c r="M18" s="67">
        <f t="shared" ref="M18:M23" si="3">L18*K18*J18*I18*7.85/1000000</f>
        <v>14175.216</v>
      </c>
      <c r="N18" s="68" t="s">
        <v>232</v>
      </c>
      <c r="O18">
        <f>K18*L18*5</f>
        <v>330000</v>
      </c>
      <c r="P18" t="s">
        <v>233</v>
      </c>
    </row>
    <row r="19" ht="24" customHeight="1" spans="1:14">
      <c r="A19" s="71" t="s">
        <v>15</v>
      </c>
      <c r="B19" s="65" t="s">
        <v>32</v>
      </c>
      <c r="C19" s="90" t="s">
        <v>99</v>
      </c>
      <c r="D19" s="90" t="s">
        <v>100</v>
      </c>
      <c r="E19" s="90" t="s">
        <v>101</v>
      </c>
      <c r="F19" s="90">
        <f>F20*2</f>
        <v>86</v>
      </c>
      <c r="G19" s="92">
        <f t="shared" si="2"/>
        <v>1417.2563328</v>
      </c>
      <c r="H19" s="94"/>
      <c r="I19" s="66">
        <v>12</v>
      </c>
      <c r="J19" s="66">
        <v>1500</v>
      </c>
      <c r="K19" s="66">
        <v>10250</v>
      </c>
      <c r="L19" s="66">
        <v>1</v>
      </c>
      <c r="M19" s="67">
        <f t="shared" si="3"/>
        <v>1448.325</v>
      </c>
      <c r="N19" s="69" t="s">
        <v>234</v>
      </c>
    </row>
    <row r="20" ht="24" customHeight="1" spans="1:14">
      <c r="A20" s="71" t="s">
        <v>16</v>
      </c>
      <c r="B20" s="65" t="s">
        <v>32</v>
      </c>
      <c r="C20" s="90" t="s">
        <v>99</v>
      </c>
      <c r="D20" s="90" t="s">
        <v>102</v>
      </c>
      <c r="E20" s="90">
        <v>2500</v>
      </c>
      <c r="F20" s="91">
        <v>43</v>
      </c>
      <c r="G20" s="92">
        <f t="shared" si="2"/>
        <v>3280.986</v>
      </c>
      <c r="H20" s="94"/>
      <c r="I20" s="66">
        <v>12</v>
      </c>
      <c r="J20" s="66">
        <v>1960</v>
      </c>
      <c r="K20" s="66">
        <v>10020</v>
      </c>
      <c r="L20" s="66">
        <v>1</v>
      </c>
      <c r="M20" s="67">
        <f t="shared" si="3"/>
        <v>1850.01264</v>
      </c>
      <c r="N20" s="68" t="s">
        <v>16</v>
      </c>
    </row>
    <row r="21" ht="24" customHeight="1" spans="1:14">
      <c r="A21" s="71" t="s">
        <v>17</v>
      </c>
      <c r="B21" s="65" t="s">
        <v>32</v>
      </c>
      <c r="C21" s="90" t="s">
        <v>99</v>
      </c>
      <c r="D21" s="90">
        <v>340</v>
      </c>
      <c r="E21" s="90" t="s">
        <v>228</v>
      </c>
      <c r="F21" s="90">
        <f>F20*2</f>
        <v>86</v>
      </c>
      <c r="G21" s="92">
        <f t="shared" si="2"/>
        <v>1101.7632</v>
      </c>
      <c r="H21" s="94"/>
      <c r="I21" s="66">
        <v>12</v>
      </c>
      <c r="J21" s="66">
        <v>1960</v>
      </c>
      <c r="K21" s="66">
        <v>7520</v>
      </c>
      <c r="L21" s="66">
        <v>1</v>
      </c>
      <c r="M21" s="67">
        <f t="shared" si="3"/>
        <v>1388.43264</v>
      </c>
      <c r="N21" s="68" t="s">
        <v>16</v>
      </c>
    </row>
    <row r="22" ht="24" customHeight="1" spans="1:14">
      <c r="A22" s="71" t="s">
        <v>18</v>
      </c>
      <c r="B22" s="65" t="s">
        <v>32</v>
      </c>
      <c r="C22" s="90" t="s">
        <v>96</v>
      </c>
      <c r="D22" s="90">
        <v>2500</v>
      </c>
      <c r="E22" s="90">
        <f>E16</f>
        <v>82260</v>
      </c>
      <c r="F22" s="90">
        <v>1</v>
      </c>
      <c r="G22" s="92">
        <f t="shared" si="2"/>
        <v>25829.64</v>
      </c>
      <c r="H22" s="94"/>
      <c r="I22" s="66">
        <v>12</v>
      </c>
      <c r="J22" s="66">
        <v>1500</v>
      </c>
      <c r="K22" s="66">
        <v>8550</v>
      </c>
      <c r="L22" s="66">
        <v>1</v>
      </c>
      <c r="M22" s="67">
        <f t="shared" si="3"/>
        <v>1208.115</v>
      </c>
      <c r="N22" s="68" t="s">
        <v>17</v>
      </c>
    </row>
    <row r="23" ht="24" customHeight="1" spans="1:16">
      <c r="A23" s="71" t="s">
        <v>19</v>
      </c>
      <c r="B23" s="65" t="s">
        <v>32</v>
      </c>
      <c r="C23" s="90" t="s">
        <v>96</v>
      </c>
      <c r="D23" s="90" t="s">
        <v>103</v>
      </c>
      <c r="E23" s="90">
        <f>E16</f>
        <v>82260</v>
      </c>
      <c r="F23" s="90">
        <v>2</v>
      </c>
      <c r="G23" s="92">
        <f t="shared" si="2"/>
        <v>9959.909184</v>
      </c>
      <c r="H23" s="94"/>
      <c r="I23" s="66">
        <v>16</v>
      </c>
      <c r="J23" s="66">
        <v>1940</v>
      </c>
      <c r="K23" s="66">
        <v>8250</v>
      </c>
      <c r="L23" s="66">
        <v>5</v>
      </c>
      <c r="M23" s="67">
        <f t="shared" si="3"/>
        <v>10051.14</v>
      </c>
      <c r="N23" s="69" t="s">
        <v>19</v>
      </c>
      <c r="O23">
        <f>K23*L23*4</f>
        <v>165000</v>
      </c>
      <c r="P23" t="s">
        <v>233</v>
      </c>
    </row>
    <row r="24" ht="24" customHeight="1" spans="9:14">
      <c r="I24" s="98">
        <f>E23*F23/1000</f>
        <v>164.52</v>
      </c>
      <c r="J24" s="100">
        <f>E23*F23/4/L23</f>
        <v>8226</v>
      </c>
      <c r="K24" s="101">
        <f>(M24-L24)/L24</f>
        <v>0.0103988433517016</v>
      </c>
      <c r="L24" s="102">
        <f>SUM(G18:G21,G23)</f>
        <v>29811.2388768</v>
      </c>
      <c r="M24" s="102">
        <f>SUM(M18:M23)</f>
        <v>30121.24128</v>
      </c>
      <c r="N24" s="82"/>
    </row>
    <row r="25" ht="24" customHeight="1" spans="1:1">
      <c r="A25" s="95" t="s">
        <v>237</v>
      </c>
    </row>
    <row r="26" ht="24" customHeight="1" spans="1:14">
      <c r="A26" s="83" t="s">
        <v>0</v>
      </c>
      <c r="B26" s="84" t="s">
        <v>24</v>
      </c>
      <c r="C26" s="84" t="s">
        <v>1</v>
      </c>
      <c r="D26" s="85"/>
      <c r="E26" s="85"/>
      <c r="F26" s="84" t="s">
        <v>2</v>
      </c>
      <c r="G26" s="84" t="s">
        <v>3</v>
      </c>
      <c r="H26" s="86" t="s">
        <v>30</v>
      </c>
      <c r="I26" s="66" t="s">
        <v>238</v>
      </c>
      <c r="J26" s="66"/>
      <c r="K26" s="66"/>
      <c r="L26" s="66"/>
      <c r="M26" s="66"/>
      <c r="N26" s="66"/>
    </row>
    <row r="27" ht="24" customHeight="1" spans="1:14">
      <c r="A27" s="87"/>
      <c r="B27" s="88"/>
      <c r="C27" s="65" t="s">
        <v>8</v>
      </c>
      <c r="D27" s="65" t="s">
        <v>9</v>
      </c>
      <c r="E27" s="65" t="s">
        <v>10</v>
      </c>
      <c r="F27" s="88"/>
      <c r="G27" s="88"/>
      <c r="H27" s="89"/>
      <c r="I27" s="66" t="s">
        <v>4</v>
      </c>
      <c r="J27" s="66" t="s">
        <v>5</v>
      </c>
      <c r="K27" s="66" t="s">
        <v>6</v>
      </c>
      <c r="L27" s="66" t="s">
        <v>3</v>
      </c>
      <c r="M27" s="66" t="s">
        <v>7</v>
      </c>
      <c r="N27" s="68" t="s">
        <v>30</v>
      </c>
    </row>
    <row r="28" ht="24" customHeight="1" spans="1:14">
      <c r="A28" s="71" t="s">
        <v>11</v>
      </c>
      <c r="B28" s="65" t="s">
        <v>32</v>
      </c>
      <c r="C28" s="90" t="s">
        <v>96</v>
      </c>
      <c r="D28" s="90">
        <v>4500</v>
      </c>
      <c r="E28" s="91">
        <f>68960+50+8*5+200</f>
        <v>69250</v>
      </c>
      <c r="F28" s="90" t="s">
        <v>97</v>
      </c>
      <c r="G28" s="92">
        <f t="shared" ref="G28:G35" si="4">E28*D28*C28*7850/1000000000*F28</f>
        <v>39140.1</v>
      </c>
      <c r="H28" s="94" t="s">
        <v>122</v>
      </c>
      <c r="I28" s="66"/>
      <c r="J28" s="66"/>
      <c r="K28" s="66"/>
      <c r="L28" s="66"/>
      <c r="M28" s="66"/>
      <c r="N28" s="68"/>
    </row>
    <row r="29" ht="24" customHeight="1" spans="1:14">
      <c r="A29" s="71" t="s">
        <v>231</v>
      </c>
      <c r="B29" s="65" t="s">
        <v>32</v>
      </c>
      <c r="C29" s="72">
        <v>16</v>
      </c>
      <c r="D29" s="72">
        <v>600</v>
      </c>
      <c r="E29" s="72">
        <f>E28</f>
        <v>69250</v>
      </c>
      <c r="F29" s="72">
        <v>4</v>
      </c>
      <c r="G29" s="73">
        <f t="shared" si="4"/>
        <v>20874.72</v>
      </c>
      <c r="H29" s="94"/>
      <c r="I29" s="98">
        <f>E29*F29/1000</f>
        <v>277</v>
      </c>
      <c r="J29" s="99">
        <f>E30*F30/5/L30</f>
        <v>9233.33333333333</v>
      </c>
      <c r="K29" s="66"/>
      <c r="L29" s="66"/>
      <c r="M29" s="66"/>
      <c r="N29" s="68"/>
    </row>
    <row r="30" ht="24" customHeight="1" spans="1:16">
      <c r="A30" s="71" t="s">
        <v>232</v>
      </c>
      <c r="B30" s="65" t="s">
        <v>32</v>
      </c>
      <c r="C30" s="72">
        <v>16</v>
      </c>
      <c r="D30" s="72">
        <v>340</v>
      </c>
      <c r="E30" s="72">
        <f>E29</f>
        <v>69250</v>
      </c>
      <c r="F30" s="72">
        <v>4</v>
      </c>
      <c r="G30" s="73">
        <f t="shared" si="4"/>
        <v>11829.008</v>
      </c>
      <c r="H30" s="94"/>
      <c r="I30" s="66">
        <v>16</v>
      </c>
      <c r="J30" s="66">
        <f>340*5+10</f>
        <v>1710</v>
      </c>
      <c r="K30" s="66">
        <v>9250</v>
      </c>
      <c r="L30" s="66">
        <v>6</v>
      </c>
      <c r="M30" s="67">
        <f t="shared" ref="M30:M35" si="5">L30*K30*J30*I30*7.85/1000000</f>
        <v>11920.068</v>
      </c>
      <c r="N30" s="68" t="s">
        <v>232</v>
      </c>
      <c r="O30">
        <f>K30*L30*5</f>
        <v>277500</v>
      </c>
      <c r="P30" t="s">
        <v>233</v>
      </c>
    </row>
    <row r="31" ht="24" customHeight="1" spans="1:16">
      <c r="A31" s="71" t="s">
        <v>15</v>
      </c>
      <c r="B31" s="65" t="s">
        <v>32</v>
      </c>
      <c r="C31" s="90" t="s">
        <v>99</v>
      </c>
      <c r="D31" s="90" t="s">
        <v>100</v>
      </c>
      <c r="E31" s="90" t="s">
        <v>101</v>
      </c>
      <c r="F31" s="90">
        <f>F32*2</f>
        <v>70</v>
      </c>
      <c r="G31" s="92">
        <f t="shared" si="4"/>
        <v>1153.580736</v>
      </c>
      <c r="H31" s="94"/>
      <c r="I31" s="55">
        <v>12</v>
      </c>
      <c r="J31" s="55">
        <v>1500</v>
      </c>
      <c r="K31" s="55">
        <v>7980</v>
      </c>
      <c r="L31" s="55">
        <v>1</v>
      </c>
      <c r="M31" s="103">
        <f t="shared" si="5"/>
        <v>1127.574</v>
      </c>
      <c r="N31" s="104" t="s">
        <v>234</v>
      </c>
      <c r="P31" t="s">
        <v>233</v>
      </c>
    </row>
    <row r="32" ht="24" customHeight="1" spans="1:16">
      <c r="A32" s="71" t="s">
        <v>16</v>
      </c>
      <c r="B32" s="65" t="s">
        <v>32</v>
      </c>
      <c r="C32" s="90" t="s">
        <v>99</v>
      </c>
      <c r="D32" s="90" t="s">
        <v>102</v>
      </c>
      <c r="E32" s="90">
        <v>2500</v>
      </c>
      <c r="F32" s="91">
        <v>35</v>
      </c>
      <c r="G32" s="92">
        <f t="shared" si="4"/>
        <v>2670.57</v>
      </c>
      <c r="H32" s="94"/>
      <c r="I32" s="55">
        <v>12</v>
      </c>
      <c r="J32" s="55">
        <v>1960</v>
      </c>
      <c r="K32" s="55">
        <v>10020</v>
      </c>
      <c r="L32" s="55">
        <v>1</v>
      </c>
      <c r="M32" s="103">
        <f t="shared" si="5"/>
        <v>1850.01264</v>
      </c>
      <c r="N32" s="105" t="s">
        <v>16</v>
      </c>
      <c r="P32" t="s">
        <v>233</v>
      </c>
    </row>
    <row r="33" ht="24" customHeight="1" spans="1:16">
      <c r="A33" s="71" t="s">
        <v>17</v>
      </c>
      <c r="B33" s="65" t="s">
        <v>32</v>
      </c>
      <c r="C33" s="90" t="s">
        <v>99</v>
      </c>
      <c r="D33" s="90">
        <v>340</v>
      </c>
      <c r="E33" s="90" t="s">
        <v>228</v>
      </c>
      <c r="F33" s="90">
        <f>F32*2</f>
        <v>70</v>
      </c>
      <c r="G33" s="92">
        <f t="shared" si="4"/>
        <v>896.784</v>
      </c>
      <c r="H33" s="94"/>
      <c r="I33" s="55">
        <v>12</v>
      </c>
      <c r="J33" s="55">
        <v>1960</v>
      </c>
      <c r="K33" s="55">
        <v>5010</v>
      </c>
      <c r="L33" s="55">
        <v>1</v>
      </c>
      <c r="M33" s="103">
        <f t="shared" si="5"/>
        <v>925.00632</v>
      </c>
      <c r="N33" s="105" t="s">
        <v>16</v>
      </c>
      <c r="P33" t="s">
        <v>233</v>
      </c>
    </row>
    <row r="34" ht="24" customHeight="1" spans="1:16">
      <c r="A34" s="71" t="s">
        <v>18</v>
      </c>
      <c r="B34" s="65" t="s">
        <v>32</v>
      </c>
      <c r="C34" s="90" t="s">
        <v>96</v>
      </c>
      <c r="D34" s="90">
        <v>2500</v>
      </c>
      <c r="E34" s="90">
        <f>E28</f>
        <v>69250</v>
      </c>
      <c r="F34" s="90">
        <v>1</v>
      </c>
      <c r="G34" s="92">
        <f t="shared" si="4"/>
        <v>21744.5</v>
      </c>
      <c r="H34" s="94"/>
      <c r="I34" s="66">
        <v>12</v>
      </c>
      <c r="J34" s="66">
        <v>1500</v>
      </c>
      <c r="K34" s="66">
        <v>6500</v>
      </c>
      <c r="L34" s="66">
        <v>1</v>
      </c>
      <c r="M34" s="67">
        <f t="shared" si="5"/>
        <v>918.45</v>
      </c>
      <c r="N34" s="68" t="s">
        <v>17</v>
      </c>
      <c r="P34" t="s">
        <v>233</v>
      </c>
    </row>
    <row r="35" ht="24" customHeight="1" spans="1:16">
      <c r="A35" s="71" t="s">
        <v>19</v>
      </c>
      <c r="B35" s="65" t="s">
        <v>32</v>
      </c>
      <c r="C35" s="90" t="s">
        <v>96</v>
      </c>
      <c r="D35" s="90" t="s">
        <v>103</v>
      </c>
      <c r="E35" s="90">
        <f>E28</f>
        <v>69250</v>
      </c>
      <c r="F35" s="90">
        <v>2</v>
      </c>
      <c r="G35" s="92">
        <f t="shared" si="4"/>
        <v>8384.6792</v>
      </c>
      <c r="H35" s="94"/>
      <c r="I35" s="66">
        <v>16</v>
      </c>
      <c r="J35" s="66">
        <v>1940</v>
      </c>
      <c r="K35" s="66">
        <v>8700</v>
      </c>
      <c r="L35" s="66">
        <v>4</v>
      </c>
      <c r="M35" s="67">
        <f t="shared" si="5"/>
        <v>8479.5072</v>
      </c>
      <c r="N35" s="69" t="s">
        <v>19</v>
      </c>
      <c r="O35">
        <f>K35*L35*4</f>
        <v>139200</v>
      </c>
      <c r="P35" t="s">
        <v>233</v>
      </c>
    </row>
    <row r="36" ht="24" customHeight="1" spans="9:14">
      <c r="I36" s="98">
        <f>E35*F35/1000</f>
        <v>138.5</v>
      </c>
      <c r="J36" s="100">
        <f>E35*F35/4/L35</f>
        <v>8656.25</v>
      </c>
      <c r="K36" s="101">
        <f>(M36-L36)/L36</f>
        <v>0.0114698440078245</v>
      </c>
      <c r="L36" s="102">
        <f>SUM(G30:G33,G35)</f>
        <v>24934.621936</v>
      </c>
      <c r="M36" s="102">
        <f>SUM(M30:M35)</f>
        <v>25220.61816</v>
      </c>
      <c r="N36" s="82"/>
    </row>
    <row r="37" ht="24" customHeight="1" spans="1:1">
      <c r="A37" s="95" t="s">
        <v>239</v>
      </c>
    </row>
    <row r="38" ht="24" customHeight="1" spans="1:14">
      <c r="A38" s="83" t="s">
        <v>0</v>
      </c>
      <c r="B38" s="84" t="s">
        <v>24</v>
      </c>
      <c r="C38" s="84" t="s">
        <v>1</v>
      </c>
      <c r="D38" s="85"/>
      <c r="E38" s="85"/>
      <c r="F38" s="84" t="s">
        <v>2</v>
      </c>
      <c r="G38" s="84" t="s">
        <v>3</v>
      </c>
      <c r="H38" s="86" t="s">
        <v>30</v>
      </c>
      <c r="I38" s="66" t="s">
        <v>240</v>
      </c>
      <c r="J38" s="66"/>
      <c r="K38" s="66"/>
      <c r="L38" s="66"/>
      <c r="M38" s="66"/>
      <c r="N38" s="66"/>
    </row>
    <row r="39" ht="24" customHeight="1" spans="1:14">
      <c r="A39" s="87"/>
      <c r="B39" s="88"/>
      <c r="C39" s="65" t="s">
        <v>8</v>
      </c>
      <c r="D39" s="65" t="s">
        <v>9</v>
      </c>
      <c r="E39" s="65" t="s">
        <v>10</v>
      </c>
      <c r="F39" s="88"/>
      <c r="G39" s="88"/>
      <c r="H39" s="89"/>
      <c r="I39" s="66" t="s">
        <v>4</v>
      </c>
      <c r="J39" s="66" t="s">
        <v>5</v>
      </c>
      <c r="K39" s="66" t="s">
        <v>6</v>
      </c>
      <c r="L39" s="66" t="s">
        <v>3</v>
      </c>
      <c r="M39" s="66" t="s">
        <v>7</v>
      </c>
      <c r="N39" s="68" t="s">
        <v>30</v>
      </c>
    </row>
    <row r="40" ht="24" customHeight="1" spans="1:14">
      <c r="A40" s="71" t="s">
        <v>11</v>
      </c>
      <c r="B40" s="65" t="s">
        <v>32</v>
      </c>
      <c r="C40" s="90" t="s">
        <v>96</v>
      </c>
      <c r="D40" s="90">
        <v>4500</v>
      </c>
      <c r="E40" s="91">
        <f>94360+50+12*5+200</f>
        <v>94670</v>
      </c>
      <c r="F40" s="90" t="s">
        <v>97</v>
      </c>
      <c r="G40" s="92">
        <f t="shared" ref="G40:G47" si="6">E40*D40*C40*7850/1000000000*F40</f>
        <v>53507.484</v>
      </c>
      <c r="H40" s="94" t="s">
        <v>123</v>
      </c>
      <c r="I40" s="66"/>
      <c r="J40" s="66"/>
      <c r="K40" s="66"/>
      <c r="L40" s="66"/>
      <c r="M40" s="66"/>
      <c r="N40" s="68"/>
    </row>
    <row r="41" ht="24" customHeight="1" spans="1:14">
      <c r="A41" s="71" t="s">
        <v>231</v>
      </c>
      <c r="B41" s="65" t="s">
        <v>32</v>
      </c>
      <c r="C41" s="72">
        <v>16</v>
      </c>
      <c r="D41" s="72">
        <v>600</v>
      </c>
      <c r="E41" s="72">
        <f>E40</f>
        <v>94670</v>
      </c>
      <c r="F41" s="72">
        <v>4</v>
      </c>
      <c r="G41" s="73">
        <f t="shared" si="6"/>
        <v>28537.3248</v>
      </c>
      <c r="H41" s="94"/>
      <c r="I41" s="98">
        <f>E41*F41/1000</f>
        <v>378.68</v>
      </c>
      <c r="J41" s="106">
        <f>E42*F42/5/L42</f>
        <v>9467</v>
      </c>
      <c r="K41" s="66"/>
      <c r="L41" s="66"/>
      <c r="M41" s="66"/>
      <c r="N41" s="68"/>
    </row>
    <row r="42" ht="24" customHeight="1" spans="1:16">
      <c r="A42" s="71" t="s">
        <v>232</v>
      </c>
      <c r="B42" s="65" t="s">
        <v>32</v>
      </c>
      <c r="C42" s="72">
        <v>16</v>
      </c>
      <c r="D42" s="72">
        <v>340</v>
      </c>
      <c r="E42" s="72">
        <f>E41</f>
        <v>94670</v>
      </c>
      <c r="F42" s="72">
        <v>4</v>
      </c>
      <c r="G42" s="73">
        <f t="shared" si="6"/>
        <v>16171.15072</v>
      </c>
      <c r="H42" s="94"/>
      <c r="I42" s="66">
        <v>16</v>
      </c>
      <c r="J42" s="66">
        <f>340*5+10</f>
        <v>1710</v>
      </c>
      <c r="K42" s="66">
        <v>9500</v>
      </c>
      <c r="L42" s="66">
        <v>8</v>
      </c>
      <c r="M42" s="67">
        <f t="shared" ref="M42:M44" si="7">L42*K42*J42*I42*7.85/1000000</f>
        <v>16322.976</v>
      </c>
      <c r="N42" s="68" t="s">
        <v>232</v>
      </c>
      <c r="O42">
        <f>K42*L42*5</f>
        <v>380000</v>
      </c>
      <c r="P42" t="s">
        <v>233</v>
      </c>
    </row>
    <row r="43" ht="24" customHeight="1" spans="1:14">
      <c r="A43" s="71" t="s">
        <v>15</v>
      </c>
      <c r="B43" s="65" t="s">
        <v>32</v>
      </c>
      <c r="C43" s="90" t="s">
        <v>99</v>
      </c>
      <c r="D43" s="90" t="s">
        <v>100</v>
      </c>
      <c r="E43" s="90" t="s">
        <v>101</v>
      </c>
      <c r="F43" s="90">
        <f>F44*2</f>
        <v>102</v>
      </c>
      <c r="G43" s="92">
        <f t="shared" si="6"/>
        <v>1680.9319296</v>
      </c>
      <c r="H43" s="94"/>
      <c r="I43" s="66">
        <v>12</v>
      </c>
      <c r="J43" s="66">
        <v>1500</v>
      </c>
      <c r="K43" s="66">
        <v>5700</v>
      </c>
      <c r="L43" s="66">
        <v>2</v>
      </c>
      <c r="M43" s="67">
        <f t="shared" si="7"/>
        <v>1610.82</v>
      </c>
      <c r="N43" s="69" t="s">
        <v>234</v>
      </c>
    </row>
    <row r="44" ht="24" customHeight="1" spans="1:14">
      <c r="A44" s="71" t="s">
        <v>16</v>
      </c>
      <c r="B44" s="65" t="s">
        <v>32</v>
      </c>
      <c r="C44" s="90" t="s">
        <v>99</v>
      </c>
      <c r="D44" s="90" t="s">
        <v>102</v>
      </c>
      <c r="E44" s="90">
        <v>2500</v>
      </c>
      <c r="F44" s="91">
        <v>51</v>
      </c>
      <c r="G44" s="92">
        <f t="shared" si="6"/>
        <v>3891.402</v>
      </c>
      <c r="H44" s="94"/>
      <c r="I44" s="66">
        <v>12</v>
      </c>
      <c r="J44" s="66">
        <v>1960</v>
      </c>
      <c r="K44" s="66">
        <v>10020</v>
      </c>
      <c r="L44" s="66">
        <v>2</v>
      </c>
      <c r="M44" s="67">
        <f t="shared" si="7"/>
        <v>3700.02528</v>
      </c>
      <c r="N44" s="68" t="s">
        <v>16</v>
      </c>
    </row>
    <row r="45" ht="24" customHeight="1" spans="1:14">
      <c r="A45" s="71" t="s">
        <v>17</v>
      </c>
      <c r="B45" s="65" t="s">
        <v>32</v>
      </c>
      <c r="C45" s="90" t="s">
        <v>99</v>
      </c>
      <c r="D45" s="90">
        <v>340</v>
      </c>
      <c r="E45" s="90" t="s">
        <v>228</v>
      </c>
      <c r="F45" s="90">
        <f>F44*2</f>
        <v>102</v>
      </c>
      <c r="G45" s="92">
        <f t="shared" si="6"/>
        <v>1306.7424</v>
      </c>
      <c r="H45" s="94"/>
      <c r="I45" s="66"/>
      <c r="J45" s="66"/>
      <c r="K45" s="66"/>
      <c r="L45" s="66"/>
      <c r="M45" s="67"/>
      <c r="N45" s="68"/>
    </row>
    <row r="46" ht="24" customHeight="1" spans="1:14">
      <c r="A46" s="71" t="s">
        <v>18</v>
      </c>
      <c r="B46" s="65" t="s">
        <v>32</v>
      </c>
      <c r="C46" s="90" t="s">
        <v>96</v>
      </c>
      <c r="D46" s="90">
        <v>2500</v>
      </c>
      <c r="E46" s="90">
        <f>E40</f>
        <v>94670</v>
      </c>
      <c r="F46" s="90">
        <v>1</v>
      </c>
      <c r="G46" s="92">
        <f t="shared" si="6"/>
        <v>29726.38</v>
      </c>
      <c r="H46" s="94"/>
      <c r="I46" s="66">
        <v>12</v>
      </c>
      <c r="J46" s="66">
        <v>1500</v>
      </c>
      <c r="K46" s="66">
        <v>6150</v>
      </c>
      <c r="L46" s="66">
        <v>2</v>
      </c>
      <c r="M46" s="67">
        <f>L46*K46*J46*I46*7.85/1000000</f>
        <v>1737.99</v>
      </c>
      <c r="N46" s="68" t="s">
        <v>17</v>
      </c>
    </row>
    <row r="47" ht="24" customHeight="1" spans="1:16">
      <c r="A47" s="71" t="s">
        <v>19</v>
      </c>
      <c r="B47" s="65" t="s">
        <v>32</v>
      </c>
      <c r="C47" s="90" t="s">
        <v>96</v>
      </c>
      <c r="D47" s="90" t="s">
        <v>103</v>
      </c>
      <c r="E47" s="90">
        <f>E40</f>
        <v>94670</v>
      </c>
      <c r="F47" s="90">
        <v>2</v>
      </c>
      <c r="G47" s="92">
        <f t="shared" si="6"/>
        <v>11462.492128</v>
      </c>
      <c r="H47" s="94"/>
      <c r="I47" s="66">
        <v>16</v>
      </c>
      <c r="J47" s="66">
        <v>1940</v>
      </c>
      <c r="K47" s="66">
        <v>9500</v>
      </c>
      <c r="L47" s="66">
        <v>5</v>
      </c>
      <c r="M47" s="67">
        <f>L47*K47*J47*I47*7.85/1000000</f>
        <v>11574.04</v>
      </c>
      <c r="N47" s="69" t="s">
        <v>19</v>
      </c>
      <c r="O47">
        <f>K47*L47*4</f>
        <v>190000</v>
      </c>
      <c r="P47" t="s">
        <v>233</v>
      </c>
    </row>
    <row r="48" ht="24" customHeight="1" spans="9:14">
      <c r="I48" s="98">
        <f>E47*F47/1000</f>
        <v>189.34</v>
      </c>
      <c r="J48" s="107">
        <f>E47*F47/4/L47</f>
        <v>9467</v>
      </c>
      <c r="K48" s="101">
        <f>(M48-L48)/L48</f>
        <v>0.0125499268884359</v>
      </c>
      <c r="L48" s="102">
        <f>SUM(G42:G45,G47)</f>
        <v>34512.7191776</v>
      </c>
      <c r="M48" s="102">
        <f>SUM(M42:M47)</f>
        <v>34945.85128</v>
      </c>
      <c r="N48" s="82"/>
    </row>
    <row r="49" ht="24" customHeight="1" spans="1:1">
      <c r="A49" t="s">
        <v>241</v>
      </c>
    </row>
    <row r="50" ht="24" customHeight="1" spans="1:8">
      <c r="A50" s="83" t="s">
        <v>0</v>
      </c>
      <c r="B50" s="84" t="s">
        <v>24</v>
      </c>
      <c r="C50" s="84" t="s">
        <v>1</v>
      </c>
      <c r="D50" s="85"/>
      <c r="E50" s="85"/>
      <c r="F50" s="84" t="s">
        <v>2</v>
      </c>
      <c r="G50" s="84" t="s">
        <v>3</v>
      </c>
      <c r="H50" s="86" t="s">
        <v>30</v>
      </c>
    </row>
    <row r="51" ht="24" customHeight="1" spans="1:8">
      <c r="A51" s="87"/>
      <c r="B51" s="88"/>
      <c r="C51" s="65" t="s">
        <v>8</v>
      </c>
      <c r="D51" s="65" t="s">
        <v>9</v>
      </c>
      <c r="E51" s="65" t="s">
        <v>10</v>
      </c>
      <c r="F51" s="88"/>
      <c r="G51" s="88"/>
      <c r="H51" s="89"/>
    </row>
    <row r="52" ht="24" customHeight="1" spans="1:8">
      <c r="A52" s="71" t="s">
        <v>11</v>
      </c>
      <c r="B52" s="65" t="s">
        <v>32</v>
      </c>
      <c r="C52" s="90" t="s">
        <v>96</v>
      </c>
      <c r="D52" s="90">
        <v>4500</v>
      </c>
      <c r="E52" s="91">
        <v>121360</v>
      </c>
      <c r="F52" s="90" t="s">
        <v>97</v>
      </c>
      <c r="G52" s="92">
        <f t="shared" ref="G52:G58" si="8">E52*D52*C52*7850/1000000000*F52</f>
        <v>68592.672</v>
      </c>
      <c r="H52" s="94" t="s">
        <v>242</v>
      </c>
    </row>
    <row r="53" ht="24" customHeight="1" spans="1:8">
      <c r="A53" s="71" t="s">
        <v>12</v>
      </c>
      <c r="B53" s="65" t="s">
        <v>32</v>
      </c>
      <c r="C53" s="90" t="s">
        <v>13</v>
      </c>
      <c r="D53" s="90"/>
      <c r="E53" s="90">
        <f>E52</f>
        <v>121360</v>
      </c>
      <c r="F53" s="90">
        <v>2</v>
      </c>
      <c r="G53" s="92">
        <f>(600+340+600+340)*E53*16*7850/1000000000*F53</f>
        <v>57312.98816</v>
      </c>
      <c r="H53" s="94"/>
    </row>
    <row r="54" ht="24" customHeight="1" spans="1:8">
      <c r="A54" s="71" t="s">
        <v>15</v>
      </c>
      <c r="B54" s="65" t="s">
        <v>32</v>
      </c>
      <c r="C54" s="90" t="s">
        <v>99</v>
      </c>
      <c r="D54" s="90" t="s">
        <v>100</v>
      </c>
      <c r="E54" s="90" t="s">
        <v>101</v>
      </c>
      <c r="F54" s="90">
        <f>F55*2</f>
        <v>126</v>
      </c>
      <c r="G54" s="92">
        <f t="shared" si="8"/>
        <v>2076.4453248</v>
      </c>
      <c r="H54" s="94"/>
    </row>
    <row r="55" ht="24" customHeight="1" spans="1:8">
      <c r="A55" s="71" t="s">
        <v>16</v>
      </c>
      <c r="B55" s="65" t="s">
        <v>32</v>
      </c>
      <c r="C55" s="90" t="s">
        <v>99</v>
      </c>
      <c r="D55" s="90" t="s">
        <v>102</v>
      </c>
      <c r="E55" s="90">
        <v>2500</v>
      </c>
      <c r="F55" s="91">
        <v>63</v>
      </c>
      <c r="G55" s="92">
        <f t="shared" si="8"/>
        <v>4807.026</v>
      </c>
      <c r="H55" s="94"/>
    </row>
    <row r="56" ht="24" customHeight="1" spans="1:8">
      <c r="A56" s="71" t="s">
        <v>17</v>
      </c>
      <c r="B56" s="65" t="s">
        <v>32</v>
      </c>
      <c r="C56" s="90" t="s">
        <v>99</v>
      </c>
      <c r="D56" s="90">
        <v>340</v>
      </c>
      <c r="E56" s="90" t="s">
        <v>228</v>
      </c>
      <c r="F56" s="90">
        <f>F55*2</f>
        <v>126</v>
      </c>
      <c r="G56" s="92">
        <f t="shared" si="8"/>
        <v>1614.2112</v>
      </c>
      <c r="H56" s="94"/>
    </row>
    <row r="57" ht="24" customHeight="1" spans="1:8">
      <c r="A57" s="71" t="s">
        <v>18</v>
      </c>
      <c r="B57" s="65" t="s">
        <v>32</v>
      </c>
      <c r="C57" s="90" t="s">
        <v>96</v>
      </c>
      <c r="D57" s="90">
        <v>2500</v>
      </c>
      <c r="E57" s="90">
        <f>E52</f>
        <v>121360</v>
      </c>
      <c r="F57" s="90">
        <v>1</v>
      </c>
      <c r="G57" s="92">
        <f t="shared" si="8"/>
        <v>38107.04</v>
      </c>
      <c r="H57" s="94"/>
    </row>
    <row r="58" ht="24" customHeight="1" spans="1:8">
      <c r="A58" s="71" t="s">
        <v>19</v>
      </c>
      <c r="B58" s="65" t="s">
        <v>32</v>
      </c>
      <c r="C58" s="90" t="s">
        <v>96</v>
      </c>
      <c r="D58" s="90" t="s">
        <v>103</v>
      </c>
      <c r="E58" s="90">
        <f>E52</f>
        <v>121360</v>
      </c>
      <c r="F58" s="90">
        <v>2</v>
      </c>
      <c r="G58" s="92">
        <f t="shared" si="8"/>
        <v>14694.074624</v>
      </c>
      <c r="H58" s="94"/>
    </row>
    <row r="59" ht="24" customHeight="1" spans="1:8">
      <c r="A59" s="71" t="s">
        <v>114</v>
      </c>
      <c r="B59" s="88"/>
      <c r="C59" s="88"/>
      <c r="D59" s="88"/>
      <c r="E59" s="88"/>
      <c r="F59" s="88"/>
      <c r="G59" s="92">
        <f>SUM(G52:G58)*0.015/1000</f>
        <v>2.808066859632</v>
      </c>
      <c r="H59" s="94"/>
    </row>
    <row r="60" ht="24" customHeight="1" spans="1:8">
      <c r="A60" s="71" t="s">
        <v>115</v>
      </c>
      <c r="B60" s="88"/>
      <c r="C60" s="88"/>
      <c r="D60" s="88"/>
      <c r="E60" s="88"/>
      <c r="F60" s="88"/>
      <c r="G60" s="92">
        <f>SUM(G52:G58)/1000+G59</f>
        <v>190.012524168432</v>
      </c>
      <c r="H60" s="94"/>
    </row>
    <row r="61" ht="24" customHeight="1" spans="1:8">
      <c r="A61" s="96" t="s">
        <v>116</v>
      </c>
      <c r="B61" s="97"/>
      <c r="C61" s="97"/>
      <c r="D61" s="97"/>
      <c r="E61" s="97"/>
      <c r="F61" s="97"/>
      <c r="G61" s="92">
        <f>(4.5/0.15*E52/1000+E52/1000/0.15*4.5)*0.395/1000</f>
        <v>2.876232</v>
      </c>
      <c r="H61" s="94"/>
    </row>
    <row r="62" ht="24" customHeight="1" spans="1:8">
      <c r="A62" s="96" t="s">
        <v>117</v>
      </c>
      <c r="B62" s="97"/>
      <c r="C62" s="97"/>
      <c r="D62" s="97"/>
      <c r="E62" s="97"/>
      <c r="F62" s="97"/>
      <c r="G62" s="92">
        <f>4.5*E52/1000</f>
        <v>546.12</v>
      </c>
      <c r="H62" s="94"/>
    </row>
    <row r="63" ht="24" customHeight="1" spans="1:8">
      <c r="A63" s="96" t="s">
        <v>118</v>
      </c>
      <c r="B63" s="97"/>
      <c r="C63" s="97"/>
      <c r="D63" s="97"/>
      <c r="E63" s="97"/>
      <c r="F63" s="97"/>
      <c r="G63" s="92">
        <f>G62*0.06</f>
        <v>32.7672</v>
      </c>
      <c r="H63" s="94"/>
    </row>
    <row r="64" ht="24" customHeight="1" spans="1:8">
      <c r="A64" s="96" t="s">
        <v>119</v>
      </c>
      <c r="B64" s="97"/>
      <c r="C64" s="97"/>
      <c r="D64" s="97"/>
      <c r="E64" s="97"/>
      <c r="F64" s="97"/>
      <c r="G64" s="92">
        <f>G62</f>
        <v>546.12</v>
      </c>
      <c r="H64" s="94"/>
    </row>
    <row r="65" ht="24" customHeight="1" spans="1:8">
      <c r="A65" s="108" t="s">
        <v>120</v>
      </c>
      <c r="B65" s="109"/>
      <c r="C65" s="109"/>
      <c r="D65" s="109"/>
      <c r="E65" s="109"/>
      <c r="F65" s="109"/>
      <c r="G65" s="110">
        <f>G64*0.06</f>
        <v>32.7672</v>
      </c>
      <c r="H65" s="111"/>
    </row>
    <row r="66" ht="24" customHeight="1"/>
    <row r="67" ht="24" customHeight="1" spans="1:1">
      <c r="A67" s="95" t="s">
        <v>243</v>
      </c>
    </row>
    <row r="68" ht="24" customHeight="1" spans="1:8">
      <c r="A68" s="83" t="s">
        <v>0</v>
      </c>
      <c r="B68" s="84" t="s">
        <v>24</v>
      </c>
      <c r="C68" s="84" t="s">
        <v>1</v>
      </c>
      <c r="D68" s="85"/>
      <c r="E68" s="85"/>
      <c r="F68" s="84" t="s">
        <v>2</v>
      </c>
      <c r="G68" s="84" t="s">
        <v>3</v>
      </c>
      <c r="H68" s="86" t="s">
        <v>30</v>
      </c>
    </row>
    <row r="69" ht="24" customHeight="1" spans="1:8">
      <c r="A69" s="87"/>
      <c r="B69" s="88"/>
      <c r="C69" s="65" t="s">
        <v>8</v>
      </c>
      <c r="D69" s="65" t="s">
        <v>9</v>
      </c>
      <c r="E69" s="65" t="s">
        <v>10</v>
      </c>
      <c r="F69" s="88"/>
      <c r="G69" s="88"/>
      <c r="H69" s="89"/>
    </row>
    <row r="70" ht="24" customHeight="1" spans="1:8">
      <c r="A70" s="71" t="s">
        <v>11</v>
      </c>
      <c r="B70" s="65" t="s">
        <v>32</v>
      </c>
      <c r="C70" s="90" t="s">
        <v>96</v>
      </c>
      <c r="D70" s="90">
        <v>4500</v>
      </c>
      <c r="E70" s="91">
        <v>120960</v>
      </c>
      <c r="F70" s="90" t="s">
        <v>97</v>
      </c>
      <c r="G70" s="92">
        <f t="shared" ref="G70:G77" si="9">E70*D70*C70*7850/1000000000*F70</f>
        <v>68366.592</v>
      </c>
      <c r="H70" s="94" t="s">
        <v>244</v>
      </c>
    </row>
    <row r="71" ht="24" customHeight="1" spans="1:8">
      <c r="A71" s="71" t="s">
        <v>231</v>
      </c>
      <c r="B71" s="65" t="s">
        <v>32</v>
      </c>
      <c r="C71" s="72">
        <v>16</v>
      </c>
      <c r="D71" s="72">
        <v>600</v>
      </c>
      <c r="E71" s="72">
        <f>E70</f>
        <v>120960</v>
      </c>
      <c r="F71" s="72">
        <v>4</v>
      </c>
      <c r="G71" s="73">
        <f t="shared" si="9"/>
        <v>36462.1824</v>
      </c>
      <c r="H71" s="94"/>
    </row>
    <row r="72" ht="24" customHeight="1" spans="1:15">
      <c r="A72" s="71" t="s">
        <v>232</v>
      </c>
      <c r="B72" s="65" t="s">
        <v>32</v>
      </c>
      <c r="C72" s="72">
        <v>16</v>
      </c>
      <c r="D72" s="72">
        <v>340</v>
      </c>
      <c r="E72" s="72">
        <f>E71</f>
        <v>120960</v>
      </c>
      <c r="F72" s="72">
        <v>4</v>
      </c>
      <c r="G72" s="73">
        <f t="shared" si="9"/>
        <v>20661.90336</v>
      </c>
      <c r="H72" s="94"/>
      <c r="O72">
        <f>K72*L72*8</f>
        <v>0</v>
      </c>
    </row>
    <row r="73" ht="24" customHeight="1" spans="1:8">
      <c r="A73" s="71" t="s">
        <v>15</v>
      </c>
      <c r="B73" s="65" t="s">
        <v>32</v>
      </c>
      <c r="C73" s="90" t="s">
        <v>99</v>
      </c>
      <c r="D73" s="90" t="s">
        <v>100</v>
      </c>
      <c r="E73" s="90" t="s">
        <v>101</v>
      </c>
      <c r="F73" s="90">
        <f>F74*2</f>
        <v>126</v>
      </c>
      <c r="G73" s="92">
        <f t="shared" si="9"/>
        <v>2076.4453248</v>
      </c>
      <c r="H73" s="94"/>
    </row>
    <row r="74" ht="24" customHeight="1" spans="1:8">
      <c r="A74" s="71" t="s">
        <v>16</v>
      </c>
      <c r="B74" s="65" t="s">
        <v>32</v>
      </c>
      <c r="C74" s="90" t="s">
        <v>99</v>
      </c>
      <c r="D74" s="90" t="s">
        <v>102</v>
      </c>
      <c r="E74" s="90">
        <v>2500</v>
      </c>
      <c r="F74" s="91">
        <v>63</v>
      </c>
      <c r="G74" s="92">
        <f t="shared" si="9"/>
        <v>4807.026</v>
      </c>
      <c r="H74" s="94"/>
    </row>
    <row r="75" ht="24" customHeight="1" spans="1:8">
      <c r="A75" s="71" t="s">
        <v>17</v>
      </c>
      <c r="B75" s="65" t="s">
        <v>32</v>
      </c>
      <c r="C75" s="90" t="s">
        <v>99</v>
      </c>
      <c r="D75" s="90">
        <v>340</v>
      </c>
      <c r="E75" s="90" t="s">
        <v>228</v>
      </c>
      <c r="F75" s="90">
        <f>F74*2</f>
        <v>126</v>
      </c>
      <c r="G75" s="92">
        <f t="shared" si="9"/>
        <v>1614.2112</v>
      </c>
      <c r="H75" s="94"/>
    </row>
    <row r="76" ht="24" customHeight="1" spans="1:8">
      <c r="A76" s="71" t="s">
        <v>18</v>
      </c>
      <c r="B76" s="65" t="s">
        <v>32</v>
      </c>
      <c r="C76" s="90" t="s">
        <v>96</v>
      </c>
      <c r="D76" s="90">
        <v>2500</v>
      </c>
      <c r="E76" s="90">
        <f>E70</f>
        <v>120960</v>
      </c>
      <c r="F76" s="90">
        <v>1</v>
      </c>
      <c r="G76" s="92">
        <f t="shared" si="9"/>
        <v>37981.44</v>
      </c>
      <c r="H76" s="94"/>
    </row>
    <row r="77" ht="24" customHeight="1" spans="1:8">
      <c r="A77" s="71" t="s">
        <v>19</v>
      </c>
      <c r="B77" s="65" t="s">
        <v>32</v>
      </c>
      <c r="C77" s="90" t="s">
        <v>96</v>
      </c>
      <c r="D77" s="90" t="s">
        <v>103</v>
      </c>
      <c r="E77" s="90">
        <f>E70</f>
        <v>120960</v>
      </c>
      <c r="F77" s="90">
        <v>2</v>
      </c>
      <c r="G77" s="92">
        <f t="shared" si="9"/>
        <v>14645.643264</v>
      </c>
      <c r="H77" s="94"/>
    </row>
    <row r="78" ht="24" customHeight="1"/>
    <row r="79" ht="24" customHeight="1" spans="1:1">
      <c r="A79" s="95" t="s">
        <v>245</v>
      </c>
    </row>
    <row r="80" ht="24" customHeight="1" spans="1:14">
      <c r="A80" s="83" t="s">
        <v>0</v>
      </c>
      <c r="B80" s="84" t="s">
        <v>24</v>
      </c>
      <c r="C80" s="84" t="s">
        <v>1</v>
      </c>
      <c r="D80" s="85"/>
      <c r="E80" s="85"/>
      <c r="F80" s="84" t="s">
        <v>2</v>
      </c>
      <c r="G80" s="84" t="s">
        <v>3</v>
      </c>
      <c r="H80" s="86" t="s">
        <v>30</v>
      </c>
      <c r="I80" s="66" t="s">
        <v>246</v>
      </c>
      <c r="J80" s="66"/>
      <c r="K80" s="66"/>
      <c r="L80" s="66"/>
      <c r="M80" s="66"/>
      <c r="N80" s="66"/>
    </row>
    <row r="81" ht="24" customHeight="1" spans="1:14">
      <c r="A81" s="87"/>
      <c r="B81" s="88"/>
      <c r="C81" s="65" t="s">
        <v>8</v>
      </c>
      <c r="D81" s="65" t="s">
        <v>9</v>
      </c>
      <c r="E81" s="65" t="s">
        <v>10</v>
      </c>
      <c r="F81" s="88"/>
      <c r="G81" s="88"/>
      <c r="H81" s="89"/>
      <c r="I81" s="66" t="s">
        <v>4</v>
      </c>
      <c r="J81" s="66" t="s">
        <v>5</v>
      </c>
      <c r="K81" s="66" t="s">
        <v>6</v>
      </c>
      <c r="L81" s="66" t="s">
        <v>3</v>
      </c>
      <c r="M81" s="66" t="s">
        <v>7</v>
      </c>
      <c r="N81" s="68" t="s">
        <v>30</v>
      </c>
    </row>
    <row r="82" ht="24" customHeight="1" spans="1:14">
      <c r="A82" s="71" t="s">
        <v>11</v>
      </c>
      <c r="B82" s="65" t="s">
        <v>32</v>
      </c>
      <c r="C82" s="90" t="s">
        <v>96</v>
      </c>
      <c r="D82" s="90">
        <v>4500</v>
      </c>
      <c r="E82" s="91">
        <f>86160+50+11*5+200</f>
        <v>86465</v>
      </c>
      <c r="F82" s="90" t="s">
        <v>97</v>
      </c>
      <c r="G82" s="92">
        <f t="shared" ref="G82:G89" si="10">E82*D82*C82*7850/1000000000*F82</f>
        <v>48870.018</v>
      </c>
      <c r="H82" s="94" t="s">
        <v>124</v>
      </c>
      <c r="I82" s="66"/>
      <c r="J82" s="66"/>
      <c r="K82" s="66"/>
      <c r="L82" s="66"/>
      <c r="M82" s="66"/>
      <c r="N82" s="68"/>
    </row>
    <row r="83" ht="24" customHeight="1" spans="1:14">
      <c r="A83" s="71" t="s">
        <v>231</v>
      </c>
      <c r="B83" s="65" t="s">
        <v>32</v>
      </c>
      <c r="C83" s="72">
        <v>16</v>
      </c>
      <c r="D83" s="72">
        <v>600</v>
      </c>
      <c r="E83" s="72">
        <f>E82</f>
        <v>86465</v>
      </c>
      <c r="F83" s="72">
        <v>4</v>
      </c>
      <c r="G83" s="73">
        <f t="shared" si="10"/>
        <v>26064.0096</v>
      </c>
      <c r="H83" s="94"/>
      <c r="I83" s="98">
        <f>E83*F83/1000</f>
        <v>345.86</v>
      </c>
      <c r="J83" s="99">
        <f>E84*F84/5/L84</f>
        <v>8646.5</v>
      </c>
      <c r="K83" s="66"/>
      <c r="L83" s="66"/>
      <c r="M83" s="66"/>
      <c r="N83" s="68"/>
    </row>
    <row r="84" ht="24" customHeight="1" spans="1:16">
      <c r="A84" s="71" t="s">
        <v>232</v>
      </c>
      <c r="B84" s="65" t="s">
        <v>32</v>
      </c>
      <c r="C84" s="72">
        <v>16</v>
      </c>
      <c r="D84" s="72">
        <v>340</v>
      </c>
      <c r="E84" s="72">
        <f>E83</f>
        <v>86465</v>
      </c>
      <c r="F84" s="72">
        <v>4</v>
      </c>
      <c r="G84" s="73">
        <f t="shared" si="10"/>
        <v>14769.60544</v>
      </c>
      <c r="H84" s="94"/>
      <c r="I84" s="66">
        <v>16</v>
      </c>
      <c r="J84" s="66">
        <f>340*5+10</f>
        <v>1710</v>
      </c>
      <c r="K84" s="66">
        <v>8700</v>
      </c>
      <c r="L84" s="66">
        <v>8</v>
      </c>
      <c r="M84" s="67">
        <f t="shared" ref="M84:M89" si="11">L84*K84*J84*I84*7.85/1000000</f>
        <v>14948.4096</v>
      </c>
      <c r="N84" s="68" t="s">
        <v>232</v>
      </c>
      <c r="O84">
        <f>K84*L84*5</f>
        <v>348000</v>
      </c>
      <c r="P84" t="s">
        <v>233</v>
      </c>
    </row>
    <row r="85" ht="24" customHeight="1" spans="1:14">
      <c r="A85" s="71" t="s">
        <v>15</v>
      </c>
      <c r="B85" s="65" t="s">
        <v>32</v>
      </c>
      <c r="C85" s="90" t="s">
        <v>99</v>
      </c>
      <c r="D85" s="90" t="s">
        <v>100</v>
      </c>
      <c r="E85" s="90" t="s">
        <v>101</v>
      </c>
      <c r="F85" s="90">
        <f>F86*2</f>
        <v>94</v>
      </c>
      <c r="G85" s="92">
        <f t="shared" si="10"/>
        <v>1549.0941312</v>
      </c>
      <c r="H85" s="94"/>
      <c r="I85" s="66">
        <v>12</v>
      </c>
      <c r="J85" s="66">
        <v>1500</v>
      </c>
      <c r="K85" s="66">
        <v>10850</v>
      </c>
      <c r="L85" s="66">
        <v>1</v>
      </c>
      <c r="M85" s="67">
        <f t="shared" si="11"/>
        <v>1533.105</v>
      </c>
      <c r="N85" s="69" t="s">
        <v>234</v>
      </c>
    </row>
    <row r="86" ht="24" customHeight="1" spans="1:14">
      <c r="A86" s="71" t="s">
        <v>16</v>
      </c>
      <c r="B86" s="65" t="s">
        <v>32</v>
      </c>
      <c r="C86" s="90" t="s">
        <v>99</v>
      </c>
      <c r="D86" s="90" t="s">
        <v>102</v>
      </c>
      <c r="E86" s="90">
        <v>2500</v>
      </c>
      <c r="F86" s="91">
        <v>47</v>
      </c>
      <c r="G86" s="92">
        <f t="shared" si="10"/>
        <v>3586.194</v>
      </c>
      <c r="H86" s="94"/>
      <c r="I86" s="66">
        <v>12</v>
      </c>
      <c r="J86" s="66">
        <v>1960</v>
      </c>
      <c r="K86" s="66">
        <v>10020</v>
      </c>
      <c r="L86" s="66">
        <v>2</v>
      </c>
      <c r="M86" s="67">
        <f t="shared" si="11"/>
        <v>3700.02528</v>
      </c>
      <c r="N86" s="68" t="s">
        <v>16</v>
      </c>
    </row>
    <row r="87" ht="24" customHeight="1" spans="1:14">
      <c r="A87" s="71" t="s">
        <v>17</v>
      </c>
      <c r="B87" s="65" t="s">
        <v>32</v>
      </c>
      <c r="C87" s="90" t="s">
        <v>99</v>
      </c>
      <c r="D87" s="90">
        <v>340</v>
      </c>
      <c r="E87" s="90" t="s">
        <v>228</v>
      </c>
      <c r="F87" s="90">
        <f>F86*2</f>
        <v>94</v>
      </c>
      <c r="G87" s="92">
        <f t="shared" si="10"/>
        <v>1204.2528</v>
      </c>
      <c r="H87" s="94"/>
      <c r="I87" s="66">
        <v>12</v>
      </c>
      <c r="J87" s="66"/>
      <c r="K87" s="66"/>
      <c r="L87" s="66"/>
      <c r="M87" s="67">
        <f t="shared" si="11"/>
        <v>0</v>
      </c>
      <c r="N87" s="68"/>
    </row>
    <row r="88" ht="24" customHeight="1" spans="1:14">
      <c r="A88" s="71" t="s">
        <v>18</v>
      </c>
      <c r="B88" s="65" t="s">
        <v>32</v>
      </c>
      <c r="C88" s="90" t="s">
        <v>96</v>
      </c>
      <c r="D88" s="90">
        <v>2500</v>
      </c>
      <c r="E88" s="90">
        <f>E82</f>
        <v>86465</v>
      </c>
      <c r="F88" s="90">
        <v>1</v>
      </c>
      <c r="G88" s="92">
        <f t="shared" si="10"/>
        <v>27150.01</v>
      </c>
      <c r="H88" s="94"/>
      <c r="I88" s="66">
        <v>12</v>
      </c>
      <c r="J88" s="66">
        <v>1500</v>
      </c>
      <c r="K88" s="66">
        <v>8850</v>
      </c>
      <c r="L88" s="66">
        <v>1</v>
      </c>
      <c r="M88" s="67">
        <f t="shared" si="11"/>
        <v>1250.505</v>
      </c>
      <c r="N88" s="68" t="s">
        <v>17</v>
      </c>
    </row>
    <row r="89" ht="24" customHeight="1" spans="1:16">
      <c r="A89" s="71" t="s">
        <v>19</v>
      </c>
      <c r="B89" s="65" t="s">
        <v>32</v>
      </c>
      <c r="C89" s="90" t="s">
        <v>96</v>
      </c>
      <c r="D89" s="90" t="s">
        <v>103</v>
      </c>
      <c r="E89" s="90">
        <f>E82</f>
        <v>86465</v>
      </c>
      <c r="F89" s="90">
        <v>2</v>
      </c>
      <c r="G89" s="92">
        <f t="shared" si="10"/>
        <v>10469.043856</v>
      </c>
      <c r="H89" s="94"/>
      <c r="I89" s="66">
        <v>16</v>
      </c>
      <c r="J89" s="66">
        <v>1940</v>
      </c>
      <c r="K89" s="66">
        <v>8700</v>
      </c>
      <c r="L89" s="66">
        <v>5</v>
      </c>
      <c r="M89" s="67">
        <f t="shared" si="11"/>
        <v>10599.384</v>
      </c>
      <c r="N89" s="69" t="s">
        <v>19</v>
      </c>
      <c r="O89">
        <f>K89*L89*4</f>
        <v>174000</v>
      </c>
      <c r="P89" t="s">
        <v>233</v>
      </c>
    </row>
    <row r="90" ht="24" customHeight="1" spans="9:14">
      <c r="I90" s="98">
        <f>E89*F89/1000</f>
        <v>172.93</v>
      </c>
      <c r="J90" s="100">
        <f>E89*F89/4/L89</f>
        <v>8646.5</v>
      </c>
      <c r="K90" s="101">
        <f>(M90-L90)/L90</f>
        <v>0.0143529014658228</v>
      </c>
      <c r="L90" s="102">
        <f>SUM(G84:G87,G89)</f>
        <v>31578.1902272</v>
      </c>
      <c r="M90" s="102">
        <f>SUM(M84:M89)</f>
        <v>32031.42888</v>
      </c>
      <c r="N90" s="82"/>
    </row>
    <row r="91" ht="24" customHeight="1" spans="1:1">
      <c r="A91" t="s">
        <v>247</v>
      </c>
    </row>
    <row r="92" ht="24" customHeight="1" spans="1:14">
      <c r="A92" s="83" t="s">
        <v>0</v>
      </c>
      <c r="B92" s="84" t="s">
        <v>24</v>
      </c>
      <c r="C92" s="84" t="s">
        <v>1</v>
      </c>
      <c r="D92" s="85"/>
      <c r="E92" s="85"/>
      <c r="F92" s="84" t="s">
        <v>2</v>
      </c>
      <c r="G92" s="84" t="s">
        <v>3</v>
      </c>
      <c r="H92" s="86" t="s">
        <v>30</v>
      </c>
      <c r="I92" s="66" t="s">
        <v>248</v>
      </c>
      <c r="J92" s="66"/>
      <c r="K92" s="66"/>
      <c r="L92" s="66"/>
      <c r="M92" s="66"/>
      <c r="N92" s="66"/>
    </row>
    <row r="93" ht="24" customHeight="1" spans="1:14">
      <c r="A93" s="87"/>
      <c r="B93" s="88"/>
      <c r="C93" s="65" t="s">
        <v>8</v>
      </c>
      <c r="D93" s="65" t="s">
        <v>9</v>
      </c>
      <c r="E93" s="65" t="s">
        <v>10</v>
      </c>
      <c r="F93" s="88"/>
      <c r="G93" s="88"/>
      <c r="H93" s="89"/>
      <c r="I93" s="66" t="s">
        <v>4</v>
      </c>
      <c r="J93" s="66" t="s">
        <v>5</v>
      </c>
      <c r="K93" s="66" t="s">
        <v>6</v>
      </c>
      <c r="L93" s="66" t="s">
        <v>3</v>
      </c>
      <c r="M93" s="66" t="s">
        <v>7</v>
      </c>
      <c r="N93" s="68" t="s">
        <v>30</v>
      </c>
    </row>
    <row r="94" ht="24" customHeight="1" spans="1:14">
      <c r="A94" s="71" t="s">
        <v>11</v>
      </c>
      <c r="B94" s="65" t="s">
        <v>32</v>
      </c>
      <c r="C94" s="90" t="s">
        <v>96</v>
      </c>
      <c r="D94" s="90">
        <v>4500</v>
      </c>
      <c r="E94" s="91">
        <v>97960</v>
      </c>
      <c r="F94" s="90" t="s">
        <v>97</v>
      </c>
      <c r="G94" s="92">
        <f t="shared" ref="G94:G101" si="12">E94*D94*C94*7850/1000000000*F94</f>
        <v>55366.992</v>
      </c>
      <c r="H94" s="94" t="s">
        <v>125</v>
      </c>
      <c r="I94" s="66"/>
      <c r="J94" s="66"/>
      <c r="K94" s="66"/>
      <c r="L94" s="66"/>
      <c r="M94" s="66"/>
      <c r="N94" s="68"/>
    </row>
    <row r="95" ht="24" customHeight="1" spans="1:14">
      <c r="A95" s="71" t="s">
        <v>231</v>
      </c>
      <c r="B95" s="65" t="s">
        <v>32</v>
      </c>
      <c r="C95" s="72">
        <v>16</v>
      </c>
      <c r="D95" s="72">
        <v>600</v>
      </c>
      <c r="E95" s="72">
        <f>E94</f>
        <v>97960</v>
      </c>
      <c r="F95" s="72">
        <v>4</v>
      </c>
      <c r="G95" s="73">
        <f t="shared" si="12"/>
        <v>29529.0624</v>
      </c>
      <c r="H95" s="94"/>
      <c r="I95" s="98">
        <f>E95*F95/1000</f>
        <v>391.84</v>
      </c>
      <c r="J95" s="106">
        <f>E96*F96/5/L96</f>
        <v>9796</v>
      </c>
      <c r="K95" s="66"/>
      <c r="L95" s="66"/>
      <c r="M95" s="66"/>
      <c r="N95" s="68"/>
    </row>
    <row r="96" ht="24" customHeight="1" spans="1:16">
      <c r="A96" s="71" t="s">
        <v>232</v>
      </c>
      <c r="B96" s="65" t="s">
        <v>32</v>
      </c>
      <c r="C96" s="72">
        <v>16</v>
      </c>
      <c r="D96" s="72">
        <v>340</v>
      </c>
      <c r="E96" s="72">
        <f>E95</f>
        <v>97960</v>
      </c>
      <c r="F96" s="72">
        <v>4</v>
      </c>
      <c r="G96" s="73">
        <f t="shared" si="12"/>
        <v>16733.13536</v>
      </c>
      <c r="H96" s="94"/>
      <c r="I96" s="66">
        <v>16</v>
      </c>
      <c r="J96" s="66">
        <f>340*5+10</f>
        <v>1710</v>
      </c>
      <c r="K96" s="66">
        <v>9850</v>
      </c>
      <c r="L96" s="66">
        <v>8</v>
      </c>
      <c r="M96" s="67">
        <f t="shared" ref="M96:M98" si="13">L96*K96*J96*I96*7.85/1000000</f>
        <v>16924.3488</v>
      </c>
      <c r="N96" s="68" t="s">
        <v>232</v>
      </c>
      <c r="O96">
        <f>K96*L96*5</f>
        <v>394000</v>
      </c>
      <c r="P96" t="s">
        <v>233</v>
      </c>
    </row>
    <row r="97" ht="24" customHeight="1" spans="1:16">
      <c r="A97" s="71" t="s">
        <v>15</v>
      </c>
      <c r="B97" s="65" t="s">
        <v>32</v>
      </c>
      <c r="C97" s="90" t="s">
        <v>99</v>
      </c>
      <c r="D97" s="90" t="s">
        <v>100</v>
      </c>
      <c r="E97" s="90" t="s">
        <v>101</v>
      </c>
      <c r="F97" s="90">
        <f>F98*2</f>
        <v>102</v>
      </c>
      <c r="G97" s="92">
        <f t="shared" si="12"/>
        <v>1680.9319296</v>
      </c>
      <c r="H97" s="94"/>
      <c r="I97" s="55">
        <v>12</v>
      </c>
      <c r="J97" s="55">
        <v>1500</v>
      </c>
      <c r="K97" s="55">
        <v>5700</v>
      </c>
      <c r="L97" s="55">
        <v>2</v>
      </c>
      <c r="M97" s="103">
        <f t="shared" si="13"/>
        <v>1610.82</v>
      </c>
      <c r="N97" s="69" t="s">
        <v>234</v>
      </c>
      <c r="P97" t="s">
        <v>233</v>
      </c>
    </row>
    <row r="98" ht="24" customHeight="1" spans="1:16">
      <c r="A98" s="71" t="s">
        <v>16</v>
      </c>
      <c r="B98" s="65" t="s">
        <v>32</v>
      </c>
      <c r="C98" s="90" t="s">
        <v>99</v>
      </c>
      <c r="D98" s="90" t="s">
        <v>102</v>
      </c>
      <c r="E98" s="90">
        <v>2500</v>
      </c>
      <c r="F98" s="91">
        <v>51</v>
      </c>
      <c r="G98" s="92">
        <f t="shared" si="12"/>
        <v>3891.402</v>
      </c>
      <c r="H98" s="94"/>
      <c r="I98" s="55">
        <v>12</v>
      </c>
      <c r="J98" s="55">
        <v>1960</v>
      </c>
      <c r="K98" s="55">
        <v>10020</v>
      </c>
      <c r="L98" s="55">
        <v>2</v>
      </c>
      <c r="M98" s="103">
        <f t="shared" si="13"/>
        <v>3700.02528</v>
      </c>
      <c r="N98" s="68" t="s">
        <v>16</v>
      </c>
      <c r="P98" t="s">
        <v>233</v>
      </c>
    </row>
    <row r="99" ht="24" customHeight="1" spans="1:16">
      <c r="A99" s="71" t="s">
        <v>17</v>
      </c>
      <c r="B99" s="65" t="s">
        <v>32</v>
      </c>
      <c r="C99" s="90" t="s">
        <v>99</v>
      </c>
      <c r="D99" s="90">
        <v>340</v>
      </c>
      <c r="E99" s="90" t="s">
        <v>228</v>
      </c>
      <c r="F99" s="90">
        <f>F98*2</f>
        <v>102</v>
      </c>
      <c r="G99" s="92">
        <f t="shared" si="12"/>
        <v>1306.7424</v>
      </c>
      <c r="H99" s="94"/>
      <c r="I99" s="55"/>
      <c r="J99" s="55"/>
      <c r="K99" s="55"/>
      <c r="L99" s="55"/>
      <c r="M99" s="103"/>
      <c r="N99" s="68"/>
      <c r="P99" t="s">
        <v>233</v>
      </c>
    </row>
    <row r="100" ht="24" customHeight="1" spans="1:16">
      <c r="A100" s="71" t="s">
        <v>18</v>
      </c>
      <c r="B100" s="65" t="s">
        <v>32</v>
      </c>
      <c r="C100" s="90" t="s">
        <v>96</v>
      </c>
      <c r="D100" s="90">
        <v>2500</v>
      </c>
      <c r="E100" s="90">
        <f>E94</f>
        <v>97960</v>
      </c>
      <c r="F100" s="90">
        <v>1</v>
      </c>
      <c r="G100" s="92">
        <f t="shared" si="12"/>
        <v>30759.44</v>
      </c>
      <c r="H100" s="94"/>
      <c r="I100" s="55">
        <v>12</v>
      </c>
      <c r="J100" s="55">
        <v>1500</v>
      </c>
      <c r="K100" s="55">
        <v>6150</v>
      </c>
      <c r="L100" s="55">
        <v>2</v>
      </c>
      <c r="M100" s="103">
        <f>L100*K100*J100*I100*7.85/1000000</f>
        <v>1737.99</v>
      </c>
      <c r="N100" s="68" t="s">
        <v>17</v>
      </c>
      <c r="P100" t="s">
        <v>233</v>
      </c>
    </row>
    <row r="101" ht="24" customHeight="1" spans="1:16">
      <c r="A101" s="71" t="s">
        <v>19</v>
      </c>
      <c r="B101" s="65" t="s">
        <v>32</v>
      </c>
      <c r="C101" s="90" t="s">
        <v>96</v>
      </c>
      <c r="D101" s="90" t="s">
        <v>103</v>
      </c>
      <c r="E101" s="90">
        <f>E94</f>
        <v>97960</v>
      </c>
      <c r="F101" s="90">
        <v>2</v>
      </c>
      <c r="G101" s="92">
        <f t="shared" si="12"/>
        <v>11860.840064</v>
      </c>
      <c r="H101" s="94"/>
      <c r="I101" s="66">
        <v>16</v>
      </c>
      <c r="J101" s="66">
        <v>1940</v>
      </c>
      <c r="K101" s="66">
        <v>9850</v>
      </c>
      <c r="L101" s="66">
        <v>5</v>
      </c>
      <c r="M101" s="67">
        <f>L101*K101*J101*I101*7.85/1000000</f>
        <v>12000.452</v>
      </c>
      <c r="N101" s="69" t="s">
        <v>19</v>
      </c>
      <c r="O101">
        <f>K101*L101*4</f>
        <v>197000</v>
      </c>
      <c r="P101" t="s">
        <v>233</v>
      </c>
    </row>
    <row r="102" ht="24" customHeight="1" spans="9:14">
      <c r="I102" s="98">
        <f>E101*F101/1000</f>
        <v>195.92</v>
      </c>
      <c r="J102" s="107">
        <f>E101*F101/4/L101</f>
        <v>9796</v>
      </c>
      <c r="K102" s="101">
        <f>(M102-L102)/L102</f>
        <v>0.0141116791945933</v>
      </c>
      <c r="L102" s="102">
        <f>SUM(G96:G99,G101)</f>
        <v>35473.0517536</v>
      </c>
      <c r="M102" s="102">
        <f>SUM(M96:M101)</f>
        <v>35973.63608</v>
      </c>
      <c r="N102" s="82"/>
    </row>
    <row r="103" ht="24" customHeight="1" spans="1:1">
      <c r="A103" t="s">
        <v>249</v>
      </c>
    </row>
    <row r="104" ht="24" customHeight="1" spans="1:14">
      <c r="A104" s="83" t="s">
        <v>0</v>
      </c>
      <c r="B104" s="84" t="s">
        <v>24</v>
      </c>
      <c r="C104" s="84" t="s">
        <v>1</v>
      </c>
      <c r="D104" s="85"/>
      <c r="E104" s="85"/>
      <c r="F104" s="84" t="s">
        <v>2</v>
      </c>
      <c r="G104" s="84" t="s">
        <v>3</v>
      </c>
      <c r="H104" s="86" t="s">
        <v>30</v>
      </c>
      <c r="I104" s="66" t="s">
        <v>250</v>
      </c>
      <c r="J104" s="66"/>
      <c r="K104" s="66"/>
      <c r="L104" s="66"/>
      <c r="M104" s="66"/>
      <c r="N104" s="66"/>
    </row>
    <row r="105" ht="24" customHeight="1" spans="1:14">
      <c r="A105" s="87"/>
      <c r="B105" s="88"/>
      <c r="C105" s="65" t="s">
        <v>8</v>
      </c>
      <c r="D105" s="65" t="s">
        <v>9</v>
      </c>
      <c r="E105" s="65" t="s">
        <v>10</v>
      </c>
      <c r="F105" s="88"/>
      <c r="G105" s="88"/>
      <c r="H105" s="89"/>
      <c r="I105" s="66" t="s">
        <v>4</v>
      </c>
      <c r="J105" s="66" t="s">
        <v>5</v>
      </c>
      <c r="K105" s="66" t="s">
        <v>6</v>
      </c>
      <c r="L105" s="66" t="s">
        <v>3</v>
      </c>
      <c r="M105" s="66" t="s">
        <v>7</v>
      </c>
      <c r="N105" s="68" t="s">
        <v>30</v>
      </c>
    </row>
    <row r="106" ht="24" customHeight="1" spans="1:14">
      <c r="A106" s="71" t="s">
        <v>11</v>
      </c>
      <c r="B106" s="65" t="s">
        <v>32</v>
      </c>
      <c r="C106" s="90" t="s">
        <v>96</v>
      </c>
      <c r="D106" s="90">
        <v>4500</v>
      </c>
      <c r="E106" s="91">
        <f>89960+50+11*5+200</f>
        <v>90265</v>
      </c>
      <c r="F106" s="90" t="s">
        <v>97</v>
      </c>
      <c r="G106" s="92">
        <f t="shared" ref="G106:G113" si="14">E106*D106*C106*7850/1000000000*F106</f>
        <v>51017.778</v>
      </c>
      <c r="H106" s="94" t="s">
        <v>126</v>
      </c>
      <c r="I106" s="66"/>
      <c r="J106" s="66"/>
      <c r="K106" s="66"/>
      <c r="L106" s="66"/>
      <c r="M106" s="66"/>
      <c r="N106" s="68"/>
    </row>
    <row r="107" ht="24" customHeight="1" spans="1:14">
      <c r="A107" s="71" t="s">
        <v>231</v>
      </c>
      <c r="B107" s="65" t="s">
        <v>32</v>
      </c>
      <c r="C107" s="72">
        <v>16</v>
      </c>
      <c r="D107" s="72">
        <v>600</v>
      </c>
      <c r="E107" s="72">
        <f>E106</f>
        <v>90265</v>
      </c>
      <c r="F107" s="72">
        <v>4</v>
      </c>
      <c r="G107" s="73">
        <f t="shared" si="14"/>
        <v>27209.4816</v>
      </c>
      <c r="H107" s="94"/>
      <c r="I107" s="98">
        <f>E107*F107/1000</f>
        <v>361.06</v>
      </c>
      <c r="J107" s="106">
        <f>E108*F108/5/L108</f>
        <v>9026.5</v>
      </c>
      <c r="K107" s="66"/>
      <c r="L107" s="66"/>
      <c r="M107" s="66"/>
      <c r="N107" s="68"/>
    </row>
    <row r="108" ht="24" customHeight="1" spans="1:16">
      <c r="A108" s="71" t="s">
        <v>232</v>
      </c>
      <c r="B108" s="65" t="s">
        <v>32</v>
      </c>
      <c r="C108" s="72">
        <v>16</v>
      </c>
      <c r="D108" s="72">
        <v>340</v>
      </c>
      <c r="E108" s="72">
        <f>E107</f>
        <v>90265</v>
      </c>
      <c r="F108" s="72">
        <v>4</v>
      </c>
      <c r="G108" s="73">
        <f t="shared" si="14"/>
        <v>15418.70624</v>
      </c>
      <c r="H108" s="94"/>
      <c r="I108" s="66">
        <v>16</v>
      </c>
      <c r="J108" s="66">
        <f>340*5+10</f>
        <v>1710</v>
      </c>
      <c r="K108" s="66">
        <v>9050</v>
      </c>
      <c r="L108" s="66">
        <v>8</v>
      </c>
      <c r="M108" s="67">
        <f t="shared" ref="M108:M113" si="15">L108*K108*J108*I108*7.85/1000000</f>
        <v>15549.7824</v>
      </c>
      <c r="N108" s="68" t="s">
        <v>232</v>
      </c>
      <c r="O108">
        <f>K108*L108*5</f>
        <v>362000</v>
      </c>
      <c r="P108" t="s">
        <v>233</v>
      </c>
    </row>
    <row r="109" ht="24" customHeight="1" spans="1:14">
      <c r="A109" s="71" t="s">
        <v>15</v>
      </c>
      <c r="B109" s="65" t="s">
        <v>32</v>
      </c>
      <c r="C109" s="90" t="s">
        <v>99</v>
      </c>
      <c r="D109" s="90" t="s">
        <v>100</v>
      </c>
      <c r="E109" s="90" t="s">
        <v>101</v>
      </c>
      <c r="F109" s="90">
        <f>F110*2</f>
        <v>94</v>
      </c>
      <c r="G109" s="92">
        <f t="shared" si="14"/>
        <v>1549.0941312</v>
      </c>
      <c r="H109" s="94"/>
      <c r="I109" s="66">
        <v>12</v>
      </c>
      <c r="J109" s="66">
        <v>1500</v>
      </c>
      <c r="K109" s="66">
        <v>10850</v>
      </c>
      <c r="L109" s="66">
        <v>1</v>
      </c>
      <c r="M109" s="67">
        <f t="shared" si="15"/>
        <v>1533.105</v>
      </c>
      <c r="N109" s="69" t="s">
        <v>234</v>
      </c>
    </row>
    <row r="110" ht="24" customHeight="1" spans="1:14">
      <c r="A110" s="71" t="s">
        <v>16</v>
      </c>
      <c r="B110" s="65" t="s">
        <v>32</v>
      </c>
      <c r="C110" s="90" t="s">
        <v>99</v>
      </c>
      <c r="D110" s="90" t="s">
        <v>102</v>
      </c>
      <c r="E110" s="90">
        <v>2500</v>
      </c>
      <c r="F110" s="91">
        <v>47</v>
      </c>
      <c r="G110" s="92">
        <f t="shared" si="14"/>
        <v>3586.194</v>
      </c>
      <c r="H110" s="94"/>
      <c r="I110" s="66">
        <v>12</v>
      </c>
      <c r="J110" s="66">
        <v>1960</v>
      </c>
      <c r="K110" s="66">
        <v>10020</v>
      </c>
      <c r="L110" s="66">
        <v>2</v>
      </c>
      <c r="M110" s="67">
        <f t="shared" si="15"/>
        <v>3700.02528</v>
      </c>
      <c r="N110" s="68" t="s">
        <v>16</v>
      </c>
    </row>
    <row r="111" ht="24" customHeight="1" spans="1:14">
      <c r="A111" s="71" t="s">
        <v>17</v>
      </c>
      <c r="B111" s="65" t="s">
        <v>32</v>
      </c>
      <c r="C111" s="90" t="s">
        <v>99</v>
      </c>
      <c r="D111" s="90">
        <v>340</v>
      </c>
      <c r="E111" s="90" t="s">
        <v>228</v>
      </c>
      <c r="F111" s="90">
        <f>F110*2</f>
        <v>94</v>
      </c>
      <c r="G111" s="92">
        <f t="shared" si="14"/>
        <v>1204.2528</v>
      </c>
      <c r="H111" s="94"/>
      <c r="I111" s="66">
        <v>12</v>
      </c>
      <c r="J111" s="66"/>
      <c r="K111" s="66"/>
      <c r="L111" s="66"/>
      <c r="M111" s="67">
        <f t="shared" si="15"/>
        <v>0</v>
      </c>
      <c r="N111" s="68"/>
    </row>
    <row r="112" ht="24" customHeight="1" spans="1:14">
      <c r="A112" s="71" t="s">
        <v>18</v>
      </c>
      <c r="B112" s="65" t="s">
        <v>32</v>
      </c>
      <c r="C112" s="90" t="s">
        <v>96</v>
      </c>
      <c r="D112" s="90">
        <v>2500</v>
      </c>
      <c r="E112" s="90">
        <f>E106</f>
        <v>90265</v>
      </c>
      <c r="F112" s="90">
        <v>1</v>
      </c>
      <c r="G112" s="92">
        <f t="shared" si="14"/>
        <v>28343.21</v>
      </c>
      <c r="H112" s="94"/>
      <c r="I112" s="66">
        <v>12</v>
      </c>
      <c r="J112" s="66">
        <v>1500</v>
      </c>
      <c r="K112" s="66">
        <v>8850</v>
      </c>
      <c r="L112" s="66">
        <v>1</v>
      </c>
      <c r="M112" s="67">
        <f t="shared" si="15"/>
        <v>1250.505</v>
      </c>
      <c r="N112" s="68" t="s">
        <v>17</v>
      </c>
    </row>
    <row r="113" ht="24" customHeight="1" spans="1:16">
      <c r="A113" s="71" t="s">
        <v>19</v>
      </c>
      <c r="B113" s="65" t="s">
        <v>32</v>
      </c>
      <c r="C113" s="90" t="s">
        <v>96</v>
      </c>
      <c r="D113" s="90" t="s">
        <v>103</v>
      </c>
      <c r="E113" s="90">
        <f>E106</f>
        <v>90265</v>
      </c>
      <c r="F113" s="90">
        <v>2</v>
      </c>
      <c r="G113" s="92">
        <f t="shared" si="14"/>
        <v>10929.141776</v>
      </c>
      <c r="H113" s="94"/>
      <c r="I113" s="66">
        <v>16</v>
      </c>
      <c r="J113" s="66">
        <v>1940</v>
      </c>
      <c r="K113" s="66">
        <v>9050</v>
      </c>
      <c r="L113" s="66">
        <v>5</v>
      </c>
      <c r="M113" s="67">
        <f t="shared" si="15"/>
        <v>11025.796</v>
      </c>
      <c r="N113" s="69" t="s">
        <v>19</v>
      </c>
      <c r="O113">
        <f>K113*L113*4</f>
        <v>181000</v>
      </c>
      <c r="P113" t="s">
        <v>233</v>
      </c>
    </row>
    <row r="114" ht="24" customHeight="1" spans="9:14">
      <c r="I114" s="98">
        <f>E113*F113/1000</f>
        <v>180.53</v>
      </c>
      <c r="J114" s="100">
        <f>E113*F113/4/L113</f>
        <v>9026.5</v>
      </c>
      <c r="K114" s="101">
        <f>(M114-L114)/L114</f>
        <v>0.011375173875179</v>
      </c>
      <c r="L114" s="102">
        <f>SUM(G108:G111,G113)</f>
        <v>32687.3889472</v>
      </c>
      <c r="M114" s="102">
        <f>SUM(M108:M113)</f>
        <v>33059.21368</v>
      </c>
      <c r="N114" s="82"/>
    </row>
    <row r="115" ht="24" customHeight="1" spans="1:1">
      <c r="A115" t="s">
        <v>251</v>
      </c>
    </row>
    <row r="116" ht="24" customHeight="1" spans="1:14">
      <c r="A116" s="83" t="s">
        <v>0</v>
      </c>
      <c r="B116" s="84" t="s">
        <v>24</v>
      </c>
      <c r="C116" s="84" t="s">
        <v>1</v>
      </c>
      <c r="D116" s="85"/>
      <c r="E116" s="85"/>
      <c r="F116" s="84" t="s">
        <v>2</v>
      </c>
      <c r="G116" s="84" t="s">
        <v>3</v>
      </c>
      <c r="H116" s="86" t="s">
        <v>30</v>
      </c>
      <c r="I116" s="66" t="s">
        <v>252</v>
      </c>
      <c r="J116" s="66"/>
      <c r="K116" s="66"/>
      <c r="L116" s="66"/>
      <c r="M116" s="66"/>
      <c r="N116" s="66"/>
    </row>
    <row r="117" ht="24" customHeight="1" spans="1:14">
      <c r="A117" s="87"/>
      <c r="B117" s="88"/>
      <c r="C117" s="65" t="s">
        <v>8</v>
      </c>
      <c r="D117" s="65" t="s">
        <v>9</v>
      </c>
      <c r="E117" s="65" t="s">
        <v>10</v>
      </c>
      <c r="F117" s="88"/>
      <c r="G117" s="88"/>
      <c r="H117" s="89"/>
      <c r="I117" s="66" t="s">
        <v>4</v>
      </c>
      <c r="J117" s="66" t="s">
        <v>5</v>
      </c>
      <c r="K117" s="66" t="s">
        <v>6</v>
      </c>
      <c r="L117" s="66" t="s">
        <v>3</v>
      </c>
      <c r="M117" s="66" t="s">
        <v>7</v>
      </c>
      <c r="N117" s="68" t="s">
        <v>30</v>
      </c>
    </row>
    <row r="118" ht="24" customHeight="1" spans="1:14">
      <c r="A118" s="71" t="s">
        <v>11</v>
      </c>
      <c r="B118" s="65" t="s">
        <v>32</v>
      </c>
      <c r="C118" s="90" t="s">
        <v>96</v>
      </c>
      <c r="D118" s="90">
        <v>4500</v>
      </c>
      <c r="E118" s="91">
        <f>97960+50+10*5+200</f>
        <v>98260</v>
      </c>
      <c r="F118" s="90" t="s">
        <v>97</v>
      </c>
      <c r="G118" s="92">
        <f t="shared" ref="G118:G125" si="16">E118*D118*C118*7850/1000000000*F118</f>
        <v>55536.552</v>
      </c>
      <c r="H118" s="94" t="s">
        <v>127</v>
      </c>
      <c r="I118" s="66"/>
      <c r="J118" s="66"/>
      <c r="K118" s="66"/>
      <c r="L118" s="66"/>
      <c r="M118" s="66"/>
      <c r="N118" s="68"/>
    </row>
    <row r="119" ht="24" customHeight="1" spans="1:14">
      <c r="A119" s="71" t="s">
        <v>231</v>
      </c>
      <c r="B119" s="65" t="s">
        <v>32</v>
      </c>
      <c r="C119" s="72">
        <v>16</v>
      </c>
      <c r="D119" s="72">
        <v>600</v>
      </c>
      <c r="E119" s="72">
        <f>E118</f>
        <v>98260</v>
      </c>
      <c r="F119" s="72">
        <v>4</v>
      </c>
      <c r="G119" s="73">
        <f t="shared" si="16"/>
        <v>29619.4944</v>
      </c>
      <c r="H119" s="94"/>
      <c r="I119" s="98">
        <f>E119*F119/1000</f>
        <v>393.04</v>
      </c>
      <c r="J119" s="106">
        <f>E120*F120/5/L120</f>
        <v>9826</v>
      </c>
      <c r="K119" s="66"/>
      <c r="L119" s="66"/>
      <c r="M119" s="66"/>
      <c r="N119" s="68"/>
    </row>
    <row r="120" ht="24" customHeight="1" spans="1:16">
      <c r="A120" s="71" t="s">
        <v>232</v>
      </c>
      <c r="B120" s="65" t="s">
        <v>32</v>
      </c>
      <c r="C120" s="72">
        <v>16</v>
      </c>
      <c r="D120" s="72">
        <v>340</v>
      </c>
      <c r="E120" s="72">
        <f>E119</f>
        <v>98260</v>
      </c>
      <c r="F120" s="72">
        <v>4</v>
      </c>
      <c r="G120" s="73">
        <f t="shared" si="16"/>
        <v>16784.38016</v>
      </c>
      <c r="H120" s="94"/>
      <c r="I120" s="66">
        <v>16</v>
      </c>
      <c r="J120" s="66">
        <f>340*5+10</f>
        <v>1710</v>
      </c>
      <c r="K120" s="66">
        <v>9850</v>
      </c>
      <c r="L120" s="66">
        <v>8</v>
      </c>
      <c r="M120" s="67">
        <f t="shared" ref="M120:M122" si="17">L120*K120*J120*I120*7.85/1000000</f>
        <v>16924.3488</v>
      </c>
      <c r="N120" s="68" t="s">
        <v>232</v>
      </c>
      <c r="O120">
        <f>K120*L120*5</f>
        <v>394000</v>
      </c>
      <c r="P120" t="s">
        <v>233</v>
      </c>
    </row>
    <row r="121" ht="24" customHeight="1" spans="1:14">
      <c r="A121" s="71" t="s">
        <v>15</v>
      </c>
      <c r="B121" s="65" t="s">
        <v>32</v>
      </c>
      <c r="C121" s="90" t="s">
        <v>99</v>
      </c>
      <c r="D121" s="90" t="s">
        <v>100</v>
      </c>
      <c r="E121" s="90" t="s">
        <v>101</v>
      </c>
      <c r="F121" s="90">
        <f>F122*2</f>
        <v>102</v>
      </c>
      <c r="G121" s="92">
        <f t="shared" si="16"/>
        <v>1680.9319296</v>
      </c>
      <c r="H121" s="94"/>
      <c r="I121" s="66">
        <v>12</v>
      </c>
      <c r="J121" s="66">
        <v>1500</v>
      </c>
      <c r="K121" s="66">
        <v>5700</v>
      </c>
      <c r="L121" s="66">
        <v>2</v>
      </c>
      <c r="M121" s="67">
        <f t="shared" si="17"/>
        <v>1610.82</v>
      </c>
      <c r="N121" s="69" t="s">
        <v>234</v>
      </c>
    </row>
    <row r="122" ht="24" customHeight="1" spans="1:14">
      <c r="A122" s="71" t="s">
        <v>16</v>
      </c>
      <c r="B122" s="65" t="s">
        <v>32</v>
      </c>
      <c r="C122" s="90" t="s">
        <v>99</v>
      </c>
      <c r="D122" s="90" t="s">
        <v>102</v>
      </c>
      <c r="E122" s="90">
        <v>2500</v>
      </c>
      <c r="F122" s="91">
        <v>51</v>
      </c>
      <c r="G122" s="92">
        <f t="shared" si="16"/>
        <v>3891.402</v>
      </c>
      <c r="H122" s="94"/>
      <c r="I122" s="66">
        <v>12</v>
      </c>
      <c r="J122" s="66">
        <v>1960</v>
      </c>
      <c r="K122" s="66">
        <v>10020</v>
      </c>
      <c r="L122" s="66">
        <v>2</v>
      </c>
      <c r="M122" s="67">
        <f t="shared" si="17"/>
        <v>3700.02528</v>
      </c>
      <c r="N122" s="68" t="s">
        <v>16</v>
      </c>
    </row>
    <row r="123" ht="24" customHeight="1" spans="1:14">
      <c r="A123" s="71" t="s">
        <v>17</v>
      </c>
      <c r="B123" s="65" t="s">
        <v>32</v>
      </c>
      <c r="C123" s="90" t="s">
        <v>99</v>
      </c>
      <c r="D123" s="90">
        <v>340</v>
      </c>
      <c r="E123" s="90" t="s">
        <v>228</v>
      </c>
      <c r="F123" s="90">
        <f>F122*2</f>
        <v>102</v>
      </c>
      <c r="G123" s="92">
        <f t="shared" si="16"/>
        <v>1306.7424</v>
      </c>
      <c r="H123" s="94"/>
      <c r="I123" s="66"/>
      <c r="J123" s="66"/>
      <c r="K123" s="66"/>
      <c r="L123" s="66"/>
      <c r="M123" s="67"/>
      <c r="N123" s="68"/>
    </row>
    <row r="124" ht="24" customHeight="1" spans="1:14">
      <c r="A124" s="71" t="s">
        <v>18</v>
      </c>
      <c r="B124" s="65" t="s">
        <v>32</v>
      </c>
      <c r="C124" s="90" t="s">
        <v>96</v>
      </c>
      <c r="D124" s="90">
        <v>2500</v>
      </c>
      <c r="E124" s="90">
        <f>E118</f>
        <v>98260</v>
      </c>
      <c r="F124" s="90">
        <v>1</v>
      </c>
      <c r="G124" s="92">
        <f t="shared" si="16"/>
        <v>30853.64</v>
      </c>
      <c r="H124" s="94"/>
      <c r="I124" s="66">
        <v>12</v>
      </c>
      <c r="J124" s="66">
        <v>1500</v>
      </c>
      <c r="K124" s="66">
        <v>6150</v>
      </c>
      <c r="L124" s="66">
        <v>2</v>
      </c>
      <c r="M124" s="67">
        <f>L124*K124*J124*I124*7.85/1000000</f>
        <v>1737.99</v>
      </c>
      <c r="N124" s="68" t="s">
        <v>17</v>
      </c>
    </row>
    <row r="125" ht="24" customHeight="1" spans="1:16">
      <c r="A125" s="71" t="s">
        <v>19</v>
      </c>
      <c r="B125" s="65" t="s">
        <v>32</v>
      </c>
      <c r="C125" s="90" t="s">
        <v>96</v>
      </c>
      <c r="D125" s="90" t="s">
        <v>103</v>
      </c>
      <c r="E125" s="90">
        <f>E118</f>
        <v>98260</v>
      </c>
      <c r="F125" s="90">
        <v>2</v>
      </c>
      <c r="G125" s="92">
        <f t="shared" si="16"/>
        <v>11897.163584</v>
      </c>
      <c r="H125" s="94"/>
      <c r="I125" s="66">
        <v>16</v>
      </c>
      <c r="J125" s="66">
        <v>1940</v>
      </c>
      <c r="K125" s="66">
        <v>9850</v>
      </c>
      <c r="L125" s="66">
        <v>5</v>
      </c>
      <c r="M125" s="67">
        <f>L125*K125*J125*I125*7.85/1000000</f>
        <v>12000.452</v>
      </c>
      <c r="N125" s="69" t="s">
        <v>19</v>
      </c>
      <c r="O125">
        <f>K125*L125*4</f>
        <v>197000</v>
      </c>
      <c r="P125" t="s">
        <v>233</v>
      </c>
    </row>
    <row r="126" ht="24" customHeight="1" spans="9:14">
      <c r="I126" s="98">
        <f>E125*F125/1000</f>
        <v>196.52</v>
      </c>
      <c r="J126" s="100">
        <f>E125*F125/4/L125</f>
        <v>9826</v>
      </c>
      <c r="K126" s="101">
        <f>(M126-L126)/L126</f>
        <v>0.0116144208268916</v>
      </c>
      <c r="L126" s="102">
        <f>SUM(G120:G123,G125)</f>
        <v>35560.6200736</v>
      </c>
      <c r="M126" s="102">
        <f>SUM(M120:M125)</f>
        <v>35973.63608</v>
      </c>
      <c r="N126" s="82"/>
    </row>
    <row r="127" ht="24" customHeight="1" spans="1:1">
      <c r="A127" t="s">
        <v>253</v>
      </c>
    </row>
    <row r="128" ht="24" customHeight="1" spans="1:14">
      <c r="A128" s="83" t="s">
        <v>0</v>
      </c>
      <c r="B128" s="84" t="s">
        <v>24</v>
      </c>
      <c r="C128" s="84" t="s">
        <v>1</v>
      </c>
      <c r="D128" s="85"/>
      <c r="E128" s="85"/>
      <c r="F128" s="84" t="s">
        <v>2</v>
      </c>
      <c r="G128" s="84" t="s">
        <v>3</v>
      </c>
      <c r="H128" s="86" t="s">
        <v>30</v>
      </c>
      <c r="I128" s="66" t="s">
        <v>254</v>
      </c>
      <c r="J128" s="66"/>
      <c r="K128" s="66"/>
      <c r="L128" s="66"/>
      <c r="M128" s="66"/>
      <c r="N128" s="66"/>
    </row>
    <row r="129" ht="24" customHeight="1" spans="1:14">
      <c r="A129" s="87"/>
      <c r="B129" s="88"/>
      <c r="C129" s="65" t="s">
        <v>8</v>
      </c>
      <c r="D129" s="65" t="s">
        <v>9</v>
      </c>
      <c r="E129" s="65" t="s">
        <v>10</v>
      </c>
      <c r="F129" s="88"/>
      <c r="G129" s="88"/>
      <c r="H129" s="89"/>
      <c r="I129" s="66" t="s">
        <v>4</v>
      </c>
      <c r="J129" s="66" t="s">
        <v>5</v>
      </c>
      <c r="K129" s="66" t="s">
        <v>6</v>
      </c>
      <c r="L129" s="66" t="s">
        <v>3</v>
      </c>
      <c r="M129" s="66" t="s">
        <v>7</v>
      </c>
      <c r="N129" s="68" t="s">
        <v>30</v>
      </c>
    </row>
    <row r="130" ht="24" customHeight="1" spans="1:14">
      <c r="A130" s="71" t="s">
        <v>11</v>
      </c>
      <c r="B130" s="65" t="s">
        <v>32</v>
      </c>
      <c r="C130" s="90" t="s">
        <v>96</v>
      </c>
      <c r="D130" s="90">
        <v>4500</v>
      </c>
      <c r="E130" s="91">
        <f>89960+50+11*5+200</f>
        <v>90265</v>
      </c>
      <c r="F130" s="90" t="s">
        <v>97</v>
      </c>
      <c r="G130" s="92">
        <f t="shared" ref="G130:G137" si="18">E130*D130*C130*7850/1000000000*F130</f>
        <v>51017.778</v>
      </c>
      <c r="H130" s="94" t="s">
        <v>255</v>
      </c>
      <c r="I130" s="66"/>
      <c r="J130" s="66"/>
      <c r="K130" s="66"/>
      <c r="L130" s="66"/>
      <c r="M130" s="66"/>
      <c r="N130" s="68"/>
    </row>
    <row r="131" ht="24" customHeight="1" spans="1:14">
      <c r="A131" s="71" t="s">
        <v>231</v>
      </c>
      <c r="B131" s="65" t="s">
        <v>32</v>
      </c>
      <c r="C131" s="72">
        <v>16</v>
      </c>
      <c r="D131" s="72">
        <v>600</v>
      </c>
      <c r="E131" s="72">
        <f>E130</f>
        <v>90265</v>
      </c>
      <c r="F131" s="72">
        <v>4</v>
      </c>
      <c r="G131" s="73">
        <f t="shared" si="18"/>
        <v>27209.4816</v>
      </c>
      <c r="H131" s="94"/>
      <c r="I131" s="98">
        <f>E131*F131/1000</f>
        <v>361.06</v>
      </c>
      <c r="J131" s="106">
        <f>E132*F132/5/L132</f>
        <v>9026.5</v>
      </c>
      <c r="K131" s="66"/>
      <c r="L131" s="66"/>
      <c r="M131" s="66"/>
      <c r="N131" s="68"/>
    </row>
    <row r="132" ht="24" customHeight="1" spans="1:16">
      <c r="A132" s="71" t="s">
        <v>232</v>
      </c>
      <c r="B132" s="65" t="s">
        <v>32</v>
      </c>
      <c r="C132" s="72">
        <v>16</v>
      </c>
      <c r="D132" s="72">
        <v>340</v>
      </c>
      <c r="E132" s="72">
        <f>E131</f>
        <v>90265</v>
      </c>
      <c r="F132" s="72">
        <v>4</v>
      </c>
      <c r="G132" s="73">
        <f t="shared" si="18"/>
        <v>15418.70624</v>
      </c>
      <c r="H132" s="94"/>
      <c r="I132" s="66">
        <v>16</v>
      </c>
      <c r="J132" s="66">
        <f>340*5+10</f>
        <v>1710</v>
      </c>
      <c r="K132" s="66">
        <v>9050</v>
      </c>
      <c r="L132" s="66">
        <v>8</v>
      </c>
      <c r="M132" s="67">
        <f t="shared" ref="M132:M137" si="19">L132*K132*J132*I132*7.85/1000000</f>
        <v>15549.7824</v>
      </c>
      <c r="N132" s="68" t="s">
        <v>232</v>
      </c>
      <c r="O132">
        <f>K132*L132*5</f>
        <v>362000</v>
      </c>
      <c r="P132" t="s">
        <v>233</v>
      </c>
    </row>
    <row r="133" ht="24" customHeight="1" spans="1:14">
      <c r="A133" s="71" t="s">
        <v>15</v>
      </c>
      <c r="B133" s="65" t="s">
        <v>32</v>
      </c>
      <c r="C133" s="90" t="s">
        <v>99</v>
      </c>
      <c r="D133" s="90" t="s">
        <v>100</v>
      </c>
      <c r="E133" s="90" t="s">
        <v>101</v>
      </c>
      <c r="F133" s="90">
        <f>F134*2</f>
        <v>94</v>
      </c>
      <c r="G133" s="92">
        <f t="shared" si="18"/>
        <v>1549.0941312</v>
      </c>
      <c r="H133" s="94"/>
      <c r="I133" s="66">
        <v>12</v>
      </c>
      <c r="J133" s="66">
        <v>1500</v>
      </c>
      <c r="K133" s="66">
        <v>10850</v>
      </c>
      <c r="L133" s="66">
        <v>1</v>
      </c>
      <c r="M133" s="67">
        <f t="shared" si="19"/>
        <v>1533.105</v>
      </c>
      <c r="N133" s="69" t="s">
        <v>234</v>
      </c>
    </row>
    <row r="134" ht="24" customHeight="1" spans="1:14">
      <c r="A134" s="71" t="s">
        <v>16</v>
      </c>
      <c r="B134" s="65" t="s">
        <v>32</v>
      </c>
      <c r="C134" s="90" t="s">
        <v>99</v>
      </c>
      <c r="D134" s="90" t="s">
        <v>102</v>
      </c>
      <c r="E134" s="90">
        <v>2500</v>
      </c>
      <c r="F134" s="91">
        <v>47</v>
      </c>
      <c r="G134" s="92">
        <f t="shared" si="18"/>
        <v>3586.194</v>
      </c>
      <c r="H134" s="94"/>
      <c r="I134" s="66">
        <v>12</v>
      </c>
      <c r="J134" s="66">
        <v>1960</v>
      </c>
      <c r="K134" s="66">
        <v>10020</v>
      </c>
      <c r="L134" s="66">
        <v>2</v>
      </c>
      <c r="M134" s="67">
        <f t="shared" si="19"/>
        <v>3700.02528</v>
      </c>
      <c r="N134" s="68" t="s">
        <v>16</v>
      </c>
    </row>
    <row r="135" ht="24" customHeight="1" spans="1:14">
      <c r="A135" s="71" t="s">
        <v>17</v>
      </c>
      <c r="B135" s="65" t="s">
        <v>32</v>
      </c>
      <c r="C135" s="90" t="s">
        <v>99</v>
      </c>
      <c r="D135" s="90">
        <v>340</v>
      </c>
      <c r="E135" s="90" t="s">
        <v>228</v>
      </c>
      <c r="F135" s="90">
        <f>F134*2</f>
        <v>94</v>
      </c>
      <c r="G135" s="92">
        <f t="shared" si="18"/>
        <v>1204.2528</v>
      </c>
      <c r="H135" s="94"/>
      <c r="I135" s="66">
        <v>12</v>
      </c>
      <c r="J135" s="66"/>
      <c r="K135" s="66"/>
      <c r="L135" s="66"/>
      <c r="M135" s="67">
        <f t="shared" si="19"/>
        <v>0</v>
      </c>
      <c r="N135" s="68"/>
    </row>
    <row r="136" ht="24" customHeight="1" spans="1:14">
      <c r="A136" s="71" t="s">
        <v>18</v>
      </c>
      <c r="B136" s="65" t="s">
        <v>32</v>
      </c>
      <c r="C136" s="90" t="s">
        <v>96</v>
      </c>
      <c r="D136" s="90">
        <v>2500</v>
      </c>
      <c r="E136" s="90">
        <f>E130</f>
        <v>90265</v>
      </c>
      <c r="F136" s="90">
        <v>1</v>
      </c>
      <c r="G136" s="92">
        <f t="shared" si="18"/>
        <v>28343.21</v>
      </c>
      <c r="H136" s="94"/>
      <c r="I136" s="66">
        <v>12</v>
      </c>
      <c r="J136" s="66">
        <v>1500</v>
      </c>
      <c r="K136" s="66">
        <v>8850</v>
      </c>
      <c r="L136" s="66">
        <v>1</v>
      </c>
      <c r="M136" s="67">
        <f t="shared" si="19"/>
        <v>1250.505</v>
      </c>
      <c r="N136" s="68" t="s">
        <v>17</v>
      </c>
    </row>
    <row r="137" ht="24" customHeight="1" spans="1:16">
      <c r="A137" s="71" t="s">
        <v>19</v>
      </c>
      <c r="B137" s="65" t="s">
        <v>32</v>
      </c>
      <c r="C137" s="90" t="s">
        <v>96</v>
      </c>
      <c r="D137" s="90" t="s">
        <v>103</v>
      </c>
      <c r="E137" s="90">
        <f>E130</f>
        <v>90265</v>
      </c>
      <c r="F137" s="90">
        <v>2</v>
      </c>
      <c r="G137" s="92">
        <f t="shared" si="18"/>
        <v>10929.141776</v>
      </c>
      <c r="H137" s="94"/>
      <c r="I137" s="66">
        <v>16</v>
      </c>
      <c r="J137" s="66">
        <v>1940</v>
      </c>
      <c r="K137" s="66">
        <v>9050</v>
      </c>
      <c r="L137" s="66">
        <v>5</v>
      </c>
      <c r="M137" s="67">
        <f t="shared" si="19"/>
        <v>11025.796</v>
      </c>
      <c r="N137" s="69" t="s">
        <v>19</v>
      </c>
      <c r="O137">
        <f>K137*L137*4</f>
        <v>181000</v>
      </c>
      <c r="P137" t="s">
        <v>233</v>
      </c>
    </row>
    <row r="138" ht="24" customHeight="1" spans="9:14">
      <c r="I138" s="98">
        <f>E137*F137/1000</f>
        <v>180.53</v>
      </c>
      <c r="J138" s="100">
        <f>E137*F137/4/L137</f>
        <v>9026.5</v>
      </c>
      <c r="K138" s="101">
        <f>(M138-L138)/L138</f>
        <v>0.011375173875179</v>
      </c>
      <c r="L138" s="102">
        <f>SUM(G132:G135,G137)</f>
        <v>32687.3889472</v>
      </c>
      <c r="M138" s="102">
        <f>SUM(M132:M137)</f>
        <v>33059.21368</v>
      </c>
      <c r="N138" s="82"/>
    </row>
    <row r="139" ht="24" customHeight="1" spans="1:1">
      <c r="A139" t="s">
        <v>256</v>
      </c>
    </row>
    <row r="140" ht="24" customHeight="1" spans="1:14">
      <c r="A140" s="83" t="s">
        <v>0</v>
      </c>
      <c r="B140" s="84" t="s">
        <v>24</v>
      </c>
      <c r="C140" s="84" t="s">
        <v>1</v>
      </c>
      <c r="D140" s="85"/>
      <c r="E140" s="85"/>
      <c r="F140" s="84" t="s">
        <v>2</v>
      </c>
      <c r="G140" s="84" t="s">
        <v>3</v>
      </c>
      <c r="H140" s="86" t="s">
        <v>30</v>
      </c>
      <c r="I140" s="66" t="s">
        <v>257</v>
      </c>
      <c r="J140" s="66"/>
      <c r="K140" s="66"/>
      <c r="L140" s="66"/>
      <c r="M140" s="66"/>
      <c r="N140" s="66"/>
    </row>
    <row r="141" ht="24" customHeight="1" spans="1:14">
      <c r="A141" s="87"/>
      <c r="B141" s="88"/>
      <c r="C141" s="65" t="s">
        <v>8</v>
      </c>
      <c r="D141" s="65" t="s">
        <v>9</v>
      </c>
      <c r="E141" s="65" t="s">
        <v>10</v>
      </c>
      <c r="F141" s="88"/>
      <c r="G141" s="88"/>
      <c r="H141" s="89"/>
      <c r="I141" s="66" t="s">
        <v>4</v>
      </c>
      <c r="J141" s="66" t="s">
        <v>5</v>
      </c>
      <c r="K141" s="66" t="s">
        <v>6</v>
      </c>
      <c r="L141" s="66" t="s">
        <v>3</v>
      </c>
      <c r="M141" s="66" t="s">
        <v>7</v>
      </c>
      <c r="N141" s="68" t="s">
        <v>30</v>
      </c>
    </row>
    <row r="142" ht="24" customHeight="1" spans="1:14">
      <c r="A142" s="71" t="s">
        <v>11</v>
      </c>
      <c r="B142" s="65" t="s">
        <v>32</v>
      </c>
      <c r="C142" s="90" t="s">
        <v>96</v>
      </c>
      <c r="D142" s="90">
        <v>4500</v>
      </c>
      <c r="E142" s="91">
        <f>81960+50+10*5+200</f>
        <v>82260</v>
      </c>
      <c r="F142" s="90" t="s">
        <v>97</v>
      </c>
      <c r="G142" s="92">
        <f t="shared" ref="G142:G149" si="20">E142*D142*C142*7850/1000000000*F142</f>
        <v>46493.352</v>
      </c>
      <c r="H142" s="94" t="s">
        <v>258</v>
      </c>
      <c r="I142" s="66"/>
      <c r="J142" s="66"/>
      <c r="K142" s="66"/>
      <c r="L142" s="66"/>
      <c r="M142" s="66"/>
      <c r="N142" s="68"/>
    </row>
    <row r="143" customFormat="1" ht="24" customHeight="1" spans="1:14">
      <c r="A143" s="71" t="s">
        <v>231</v>
      </c>
      <c r="B143" s="65" t="s">
        <v>32</v>
      </c>
      <c r="C143" s="72">
        <v>16</v>
      </c>
      <c r="D143" s="72">
        <v>600</v>
      </c>
      <c r="E143" s="72">
        <f>E142</f>
        <v>82260</v>
      </c>
      <c r="F143" s="72">
        <v>4</v>
      </c>
      <c r="G143" s="73">
        <f t="shared" si="20"/>
        <v>24796.4544</v>
      </c>
      <c r="H143" s="94"/>
      <c r="I143" s="98">
        <f>E143*F143/1000</f>
        <v>329.04</v>
      </c>
      <c r="J143" s="106">
        <f>E144*F144/5/L144</f>
        <v>8226</v>
      </c>
      <c r="K143" s="66"/>
      <c r="L143" s="66"/>
      <c r="M143" s="66"/>
      <c r="N143" s="68"/>
    </row>
    <row r="144" ht="24" customHeight="1" spans="1:16">
      <c r="A144" s="71" t="s">
        <v>232</v>
      </c>
      <c r="B144" s="65" t="s">
        <v>32</v>
      </c>
      <c r="C144" s="72">
        <v>16</v>
      </c>
      <c r="D144" s="72">
        <v>340</v>
      </c>
      <c r="E144" s="72">
        <f>E143</f>
        <v>82260</v>
      </c>
      <c r="F144" s="72">
        <v>4</v>
      </c>
      <c r="G144" s="73">
        <f t="shared" si="20"/>
        <v>14051.32416</v>
      </c>
      <c r="H144" s="94"/>
      <c r="I144" s="66">
        <v>16</v>
      </c>
      <c r="J144" s="66">
        <f>340*5+10</f>
        <v>1710</v>
      </c>
      <c r="K144" s="66">
        <v>8250</v>
      </c>
      <c r="L144" s="66">
        <v>8</v>
      </c>
      <c r="M144" s="67">
        <f t="shared" ref="M144:M149" si="21">L144*K144*J144*I144*7.85/1000000</f>
        <v>14175.216</v>
      </c>
      <c r="N144" s="68" t="s">
        <v>232</v>
      </c>
      <c r="O144">
        <f>K144*L144*5</f>
        <v>330000</v>
      </c>
      <c r="P144" t="s">
        <v>233</v>
      </c>
    </row>
    <row r="145" ht="24" customHeight="1" spans="1:14">
      <c r="A145" s="71" t="s">
        <v>15</v>
      </c>
      <c r="B145" s="65" t="s">
        <v>32</v>
      </c>
      <c r="C145" s="90" t="s">
        <v>99</v>
      </c>
      <c r="D145" s="90" t="s">
        <v>100</v>
      </c>
      <c r="E145" s="90" t="s">
        <v>101</v>
      </c>
      <c r="F145" s="90">
        <f>F146*2</f>
        <v>86</v>
      </c>
      <c r="G145" s="92">
        <f t="shared" si="20"/>
        <v>1417.2563328</v>
      </c>
      <c r="H145" s="94"/>
      <c r="I145" s="66">
        <v>12</v>
      </c>
      <c r="J145" s="66">
        <v>1500</v>
      </c>
      <c r="K145" s="66">
        <v>10250</v>
      </c>
      <c r="L145" s="66">
        <v>1</v>
      </c>
      <c r="M145" s="67">
        <f t="shared" si="21"/>
        <v>1448.325</v>
      </c>
      <c r="N145" s="69" t="s">
        <v>234</v>
      </c>
    </row>
    <row r="146" ht="24" customHeight="1" spans="1:14">
      <c r="A146" s="71" t="s">
        <v>16</v>
      </c>
      <c r="B146" s="65" t="s">
        <v>32</v>
      </c>
      <c r="C146" s="90" t="s">
        <v>99</v>
      </c>
      <c r="D146" s="90" t="s">
        <v>102</v>
      </c>
      <c r="E146" s="90">
        <v>2500</v>
      </c>
      <c r="F146" s="91">
        <v>43</v>
      </c>
      <c r="G146" s="92">
        <f t="shared" si="20"/>
        <v>3280.986</v>
      </c>
      <c r="H146" s="94"/>
      <c r="I146" s="66">
        <v>12</v>
      </c>
      <c r="J146" s="66">
        <v>1960</v>
      </c>
      <c r="K146" s="66">
        <v>10020</v>
      </c>
      <c r="L146" s="66">
        <v>1</v>
      </c>
      <c r="M146" s="67">
        <f t="shared" si="21"/>
        <v>1850.01264</v>
      </c>
      <c r="N146" s="68" t="s">
        <v>16</v>
      </c>
    </row>
    <row r="147" ht="24" customHeight="1" spans="1:14">
      <c r="A147" s="71" t="s">
        <v>17</v>
      </c>
      <c r="B147" s="65" t="s">
        <v>32</v>
      </c>
      <c r="C147" s="90" t="s">
        <v>99</v>
      </c>
      <c r="D147" s="90">
        <v>340</v>
      </c>
      <c r="E147" s="90" t="s">
        <v>228</v>
      </c>
      <c r="F147" s="90">
        <f>F146*2</f>
        <v>86</v>
      </c>
      <c r="G147" s="92">
        <f t="shared" si="20"/>
        <v>1101.7632</v>
      </c>
      <c r="H147" s="94"/>
      <c r="I147" s="66">
        <v>12</v>
      </c>
      <c r="J147" s="66">
        <v>1960</v>
      </c>
      <c r="K147" s="66">
        <v>7520</v>
      </c>
      <c r="L147" s="66">
        <v>1</v>
      </c>
      <c r="M147" s="67">
        <f t="shared" si="21"/>
        <v>1388.43264</v>
      </c>
      <c r="N147" s="68" t="s">
        <v>16</v>
      </c>
    </row>
    <row r="148" ht="24" customHeight="1" spans="1:14">
      <c r="A148" s="71" t="s">
        <v>18</v>
      </c>
      <c r="B148" s="65" t="s">
        <v>32</v>
      </c>
      <c r="C148" s="90" t="s">
        <v>96</v>
      </c>
      <c r="D148" s="90">
        <v>2500</v>
      </c>
      <c r="E148" s="90">
        <f>E142</f>
        <v>82260</v>
      </c>
      <c r="F148" s="90">
        <v>1</v>
      </c>
      <c r="G148" s="92">
        <f t="shared" si="20"/>
        <v>25829.64</v>
      </c>
      <c r="H148" s="94"/>
      <c r="I148" s="66">
        <v>12</v>
      </c>
      <c r="J148" s="66">
        <v>1500</v>
      </c>
      <c r="K148" s="66">
        <v>8550</v>
      </c>
      <c r="L148" s="66">
        <v>1</v>
      </c>
      <c r="M148" s="67">
        <f t="shared" si="21"/>
        <v>1208.115</v>
      </c>
      <c r="N148" s="68" t="s">
        <v>17</v>
      </c>
    </row>
    <row r="149" ht="24" customHeight="1" spans="1:16">
      <c r="A149" s="71" t="s">
        <v>19</v>
      </c>
      <c r="B149" s="65" t="s">
        <v>32</v>
      </c>
      <c r="C149" s="90" t="s">
        <v>96</v>
      </c>
      <c r="D149" s="90" t="s">
        <v>103</v>
      </c>
      <c r="E149" s="90">
        <f>E142</f>
        <v>82260</v>
      </c>
      <c r="F149" s="90">
        <v>2</v>
      </c>
      <c r="G149" s="92">
        <f t="shared" si="20"/>
        <v>9959.909184</v>
      </c>
      <c r="H149" s="94"/>
      <c r="I149" s="66">
        <v>16</v>
      </c>
      <c r="J149" s="66">
        <v>1940</v>
      </c>
      <c r="K149" s="66">
        <v>8250</v>
      </c>
      <c r="L149" s="66">
        <v>5</v>
      </c>
      <c r="M149" s="67">
        <f t="shared" si="21"/>
        <v>10051.14</v>
      </c>
      <c r="N149" s="69" t="s">
        <v>19</v>
      </c>
      <c r="O149">
        <f>K149*L149*4</f>
        <v>165000</v>
      </c>
      <c r="P149" t="s">
        <v>233</v>
      </c>
    </row>
    <row r="150" ht="24" customHeight="1" spans="9:14">
      <c r="I150" s="98">
        <f>E149*F149/1000</f>
        <v>164.52</v>
      </c>
      <c r="J150" s="100">
        <f>E149*F149/4/L149</f>
        <v>8226</v>
      </c>
      <c r="K150" s="101">
        <f>(M150-L150)/L150</f>
        <v>0.0103988433517016</v>
      </c>
      <c r="L150" s="102">
        <f>SUM(G144:G147,G149)</f>
        <v>29811.2388768</v>
      </c>
      <c r="M150" s="102">
        <f>SUM(M144:M149)</f>
        <v>30121.24128</v>
      </c>
      <c r="N150" s="82"/>
    </row>
    <row r="151" ht="24" customHeight="1" spans="1:1">
      <c r="A151" s="95" t="s">
        <v>259</v>
      </c>
    </row>
    <row r="152" ht="24" customHeight="1" spans="1:14">
      <c r="A152" s="83" t="s">
        <v>0</v>
      </c>
      <c r="B152" s="84" t="s">
        <v>24</v>
      </c>
      <c r="C152" s="84" t="s">
        <v>1</v>
      </c>
      <c r="D152" s="85"/>
      <c r="E152" s="85"/>
      <c r="F152" s="84" t="s">
        <v>2</v>
      </c>
      <c r="G152" s="84" t="s">
        <v>3</v>
      </c>
      <c r="H152" s="86" t="s">
        <v>30</v>
      </c>
      <c r="I152" s="66" t="s">
        <v>260</v>
      </c>
      <c r="J152" s="66"/>
      <c r="K152" s="66"/>
      <c r="L152" s="66"/>
      <c r="M152" s="66"/>
      <c r="N152" s="66"/>
    </row>
    <row r="153" ht="24" customHeight="1" spans="1:14">
      <c r="A153" s="87"/>
      <c r="B153" s="88"/>
      <c r="C153" s="65" t="s">
        <v>8</v>
      </c>
      <c r="D153" s="65" t="s">
        <v>9</v>
      </c>
      <c r="E153" s="65" t="s">
        <v>10</v>
      </c>
      <c r="F153" s="88"/>
      <c r="G153" s="88"/>
      <c r="H153" s="89"/>
      <c r="I153" s="66" t="s">
        <v>4</v>
      </c>
      <c r="J153" s="66" t="s">
        <v>5</v>
      </c>
      <c r="K153" s="66" t="s">
        <v>6</v>
      </c>
      <c r="L153" s="66" t="s">
        <v>3</v>
      </c>
      <c r="M153" s="66" t="s">
        <v>7</v>
      </c>
      <c r="N153" s="68" t="s">
        <v>30</v>
      </c>
    </row>
    <row r="154" ht="24" customHeight="1" spans="1:14">
      <c r="A154" s="71" t="s">
        <v>11</v>
      </c>
      <c r="B154" s="65" t="s">
        <v>32</v>
      </c>
      <c r="C154" s="90" t="s">
        <v>96</v>
      </c>
      <c r="D154" s="90">
        <v>4500</v>
      </c>
      <c r="E154" s="91">
        <f>63042+50+8*5+200</f>
        <v>63332</v>
      </c>
      <c r="F154" s="90" t="s">
        <v>97</v>
      </c>
      <c r="G154" s="92">
        <f t="shared" ref="G154:G161" si="22">E154*D154*C154*7850/1000000000*F154</f>
        <v>35795.2464</v>
      </c>
      <c r="H154" s="94" t="s">
        <v>261</v>
      </c>
      <c r="I154" s="66"/>
      <c r="J154" s="66"/>
      <c r="K154" s="66"/>
      <c r="L154" s="66"/>
      <c r="M154" s="66"/>
      <c r="N154" s="68"/>
    </row>
    <row r="155" ht="24" customHeight="1" spans="1:14">
      <c r="A155" s="71" t="s">
        <v>231</v>
      </c>
      <c r="B155" s="65" t="s">
        <v>32</v>
      </c>
      <c r="C155" s="72">
        <v>16</v>
      </c>
      <c r="D155" s="72">
        <v>600</v>
      </c>
      <c r="E155" s="72">
        <f>E154</f>
        <v>63332</v>
      </c>
      <c r="F155" s="72">
        <v>4</v>
      </c>
      <c r="G155" s="73">
        <f t="shared" si="22"/>
        <v>19090.79808</v>
      </c>
      <c r="H155" s="94"/>
      <c r="I155" s="98">
        <f>E155*F155/1000</f>
        <v>253.328</v>
      </c>
      <c r="J155" s="121">
        <f>E156*F156/5/L156</f>
        <v>8444.26666666667</v>
      </c>
      <c r="K155" s="66"/>
      <c r="L155" s="66"/>
      <c r="M155" s="66"/>
      <c r="N155" s="68"/>
    </row>
    <row r="156" ht="24" customHeight="1" spans="1:16">
      <c r="A156" s="71" t="s">
        <v>232</v>
      </c>
      <c r="B156" s="65" t="s">
        <v>32</v>
      </c>
      <c r="C156" s="72">
        <v>16</v>
      </c>
      <c r="D156" s="72">
        <v>340</v>
      </c>
      <c r="E156" s="72">
        <f>E155</f>
        <v>63332</v>
      </c>
      <c r="F156" s="72">
        <v>4</v>
      </c>
      <c r="G156" s="73">
        <f t="shared" si="22"/>
        <v>10818.118912</v>
      </c>
      <c r="H156" s="94"/>
      <c r="I156" s="66">
        <v>16</v>
      </c>
      <c r="J156" s="66">
        <f>340*5+10</f>
        <v>1710</v>
      </c>
      <c r="K156" s="66">
        <v>8500</v>
      </c>
      <c r="L156" s="66">
        <v>6</v>
      </c>
      <c r="M156" s="67">
        <f t="shared" ref="M156:M161" si="23">L156*K156*J156*I156*7.85/1000000</f>
        <v>10953.576</v>
      </c>
      <c r="N156" s="68" t="s">
        <v>232</v>
      </c>
      <c r="O156">
        <f>K156*L156*5</f>
        <v>255000</v>
      </c>
      <c r="P156" t="s">
        <v>233</v>
      </c>
    </row>
    <row r="157" ht="24" customHeight="1" spans="1:14">
      <c r="A157" s="71" t="s">
        <v>15</v>
      </c>
      <c r="B157" s="65" t="s">
        <v>32</v>
      </c>
      <c r="C157" s="90" t="s">
        <v>99</v>
      </c>
      <c r="D157" s="90" t="s">
        <v>100</v>
      </c>
      <c r="E157" s="90" t="s">
        <v>101</v>
      </c>
      <c r="F157" s="90">
        <f>F158*2</f>
        <v>68</v>
      </c>
      <c r="G157" s="92">
        <f t="shared" si="22"/>
        <v>1120.6212864</v>
      </c>
      <c r="H157" s="94"/>
      <c r="I157" s="66">
        <v>12</v>
      </c>
      <c r="J157" s="66">
        <v>1500</v>
      </c>
      <c r="K157" s="66">
        <v>7150</v>
      </c>
      <c r="L157" s="66">
        <v>1</v>
      </c>
      <c r="M157" s="67">
        <f t="shared" si="23"/>
        <v>1010.295</v>
      </c>
      <c r="N157" s="69" t="s">
        <v>234</v>
      </c>
    </row>
    <row r="158" ht="24" customHeight="1" spans="1:14">
      <c r="A158" s="71" t="s">
        <v>16</v>
      </c>
      <c r="B158" s="65" t="s">
        <v>32</v>
      </c>
      <c r="C158" s="90" t="s">
        <v>99</v>
      </c>
      <c r="D158" s="90" t="s">
        <v>102</v>
      </c>
      <c r="E158" s="90">
        <v>2500</v>
      </c>
      <c r="F158" s="91">
        <v>34</v>
      </c>
      <c r="G158" s="92">
        <f t="shared" si="22"/>
        <v>2594.268</v>
      </c>
      <c r="H158" s="94"/>
      <c r="I158" s="66">
        <v>12</v>
      </c>
      <c r="J158" s="66">
        <v>1960</v>
      </c>
      <c r="K158" s="66">
        <v>10020</v>
      </c>
      <c r="L158" s="66">
        <v>1</v>
      </c>
      <c r="M158" s="67">
        <f t="shared" si="23"/>
        <v>1850.01264</v>
      </c>
      <c r="N158" s="68" t="s">
        <v>16</v>
      </c>
    </row>
    <row r="159" ht="24" customHeight="1" spans="1:14">
      <c r="A159" s="71" t="s">
        <v>17</v>
      </c>
      <c r="B159" s="65" t="s">
        <v>32</v>
      </c>
      <c r="C159" s="90" t="s">
        <v>99</v>
      </c>
      <c r="D159" s="90">
        <v>340</v>
      </c>
      <c r="E159" s="90" t="s">
        <v>228</v>
      </c>
      <c r="F159" s="90">
        <f>F158*2</f>
        <v>68</v>
      </c>
      <c r="G159" s="92">
        <f t="shared" si="22"/>
        <v>871.1616</v>
      </c>
      <c r="H159" s="94"/>
      <c r="I159" s="66">
        <v>12</v>
      </c>
      <c r="J159" s="66">
        <v>1960</v>
      </c>
      <c r="K159" s="66">
        <v>5010</v>
      </c>
      <c r="L159" s="66">
        <v>1</v>
      </c>
      <c r="M159" s="67">
        <f t="shared" si="23"/>
        <v>925.00632</v>
      </c>
      <c r="N159" s="68" t="s">
        <v>16</v>
      </c>
    </row>
    <row r="160" ht="24" customHeight="1" spans="1:14">
      <c r="A160" s="71" t="s">
        <v>18</v>
      </c>
      <c r="B160" s="65" t="s">
        <v>32</v>
      </c>
      <c r="C160" s="90" t="s">
        <v>96</v>
      </c>
      <c r="D160" s="90">
        <v>2500</v>
      </c>
      <c r="E160" s="90">
        <f>E154</f>
        <v>63332</v>
      </c>
      <c r="F160" s="90">
        <v>1</v>
      </c>
      <c r="G160" s="92">
        <f t="shared" si="22"/>
        <v>19886.248</v>
      </c>
      <c r="H160" s="94"/>
      <c r="I160" s="66">
        <v>12</v>
      </c>
      <c r="J160" s="66">
        <v>1500</v>
      </c>
      <c r="K160" s="66">
        <v>6500</v>
      </c>
      <c r="L160" s="66">
        <v>1</v>
      </c>
      <c r="M160" s="67">
        <f t="shared" si="23"/>
        <v>918.45</v>
      </c>
      <c r="N160" s="68" t="s">
        <v>17</v>
      </c>
    </row>
    <row r="161" ht="24" customHeight="1" spans="1:16">
      <c r="A161" s="71" t="s">
        <v>19</v>
      </c>
      <c r="B161" s="65" t="s">
        <v>32</v>
      </c>
      <c r="C161" s="90" t="s">
        <v>96</v>
      </c>
      <c r="D161" s="90" t="s">
        <v>103</v>
      </c>
      <c r="E161" s="90">
        <f>E154</f>
        <v>63332</v>
      </c>
      <c r="F161" s="90">
        <v>2</v>
      </c>
      <c r="G161" s="92">
        <f t="shared" si="22"/>
        <v>7668.1372288</v>
      </c>
      <c r="H161" s="94"/>
      <c r="I161" s="66">
        <v>16</v>
      </c>
      <c r="J161" s="66">
        <v>1940</v>
      </c>
      <c r="K161" s="66">
        <v>7950</v>
      </c>
      <c r="L161" s="66">
        <v>4</v>
      </c>
      <c r="M161" s="67">
        <f t="shared" si="23"/>
        <v>7748.5152</v>
      </c>
      <c r="N161" s="69" t="s">
        <v>19</v>
      </c>
      <c r="O161">
        <f>K161*L161*4</f>
        <v>127200</v>
      </c>
      <c r="P161" t="s">
        <v>233</v>
      </c>
    </row>
    <row r="162" ht="24" customHeight="1" spans="9:14">
      <c r="I162" s="98">
        <f>E161*F161/1000</f>
        <v>126.664</v>
      </c>
      <c r="J162" s="100">
        <f>E161*F161/4/L161</f>
        <v>7916.5</v>
      </c>
      <c r="K162" s="101">
        <f>(M162-L162)/L162</f>
        <v>0.0144566441668266</v>
      </c>
      <c r="L162" s="102">
        <f>SUM(G156:G159,G161)</f>
        <v>23072.3070272</v>
      </c>
      <c r="M162" s="102">
        <f>SUM(M156:M161)</f>
        <v>23405.85516</v>
      </c>
      <c r="N162" s="82"/>
    </row>
    <row r="163" ht="24" customHeight="1" spans="1:1">
      <c r="A163" s="95" t="s">
        <v>262</v>
      </c>
    </row>
    <row r="164" ht="24" customHeight="1" spans="1:14">
      <c r="A164" s="83" t="s">
        <v>0</v>
      </c>
      <c r="B164" s="84" t="s">
        <v>24</v>
      </c>
      <c r="C164" s="84" t="s">
        <v>1</v>
      </c>
      <c r="D164" s="85"/>
      <c r="E164" s="85"/>
      <c r="F164" s="84" t="s">
        <v>2</v>
      </c>
      <c r="G164" s="84" t="s">
        <v>3</v>
      </c>
      <c r="H164" s="86" t="s">
        <v>30</v>
      </c>
      <c r="I164" s="66" t="s">
        <v>263</v>
      </c>
      <c r="J164" s="66"/>
      <c r="K164" s="66"/>
      <c r="L164" s="66"/>
      <c r="M164" s="66"/>
      <c r="N164" s="66"/>
    </row>
    <row r="165" ht="24" customHeight="1" spans="1:14">
      <c r="A165" s="87"/>
      <c r="B165" s="88"/>
      <c r="C165" s="65" t="s">
        <v>8</v>
      </c>
      <c r="D165" s="65" t="s">
        <v>9</v>
      </c>
      <c r="E165" s="65" t="s">
        <v>10</v>
      </c>
      <c r="F165" s="88"/>
      <c r="G165" s="88"/>
      <c r="H165" s="89"/>
      <c r="I165" s="66" t="s">
        <v>4</v>
      </c>
      <c r="J165" s="66" t="s">
        <v>5</v>
      </c>
      <c r="K165" s="66" t="s">
        <v>6</v>
      </c>
      <c r="L165" s="66" t="s">
        <v>3</v>
      </c>
      <c r="M165" s="66" t="s">
        <v>7</v>
      </c>
      <c r="N165" s="68" t="s">
        <v>30</v>
      </c>
    </row>
    <row r="166" ht="24" customHeight="1" spans="1:14">
      <c r="A166" s="71" t="s">
        <v>11</v>
      </c>
      <c r="B166" s="65" t="s">
        <v>32</v>
      </c>
      <c r="C166" s="72" t="s">
        <v>96</v>
      </c>
      <c r="D166" s="72">
        <v>4500</v>
      </c>
      <c r="E166" s="72">
        <f>65960+8*5+50+200</f>
        <v>66250</v>
      </c>
      <c r="F166" s="72" t="s">
        <v>97</v>
      </c>
      <c r="G166" s="73">
        <f t="shared" ref="G166:G173" si="24">E166*D166*C166*7850/1000000000*F166</f>
        <v>37444.5</v>
      </c>
      <c r="H166" s="94" t="s">
        <v>264</v>
      </c>
      <c r="I166" s="66"/>
      <c r="J166" s="66"/>
      <c r="K166" s="66"/>
      <c r="L166" s="66"/>
      <c r="M166" s="66"/>
      <c r="N166" s="68"/>
    </row>
    <row r="167" customFormat="1" ht="24" customHeight="1" spans="1:14">
      <c r="A167" s="71" t="s">
        <v>231</v>
      </c>
      <c r="B167" s="65" t="s">
        <v>32</v>
      </c>
      <c r="C167" s="72">
        <v>16</v>
      </c>
      <c r="D167" s="72">
        <v>600</v>
      </c>
      <c r="E167" s="72">
        <f>E166</f>
        <v>66250</v>
      </c>
      <c r="F167" s="72">
        <v>4</v>
      </c>
      <c r="G167" s="73">
        <f t="shared" si="24"/>
        <v>19970.4</v>
      </c>
      <c r="H167" s="94"/>
      <c r="I167" s="98">
        <f>E167*F167/1000</f>
        <v>265</v>
      </c>
      <c r="J167" s="121">
        <f>E168*F168/5/L168</f>
        <v>8833.33333333333</v>
      </c>
      <c r="K167" s="66"/>
      <c r="L167" s="66"/>
      <c r="M167" s="66"/>
      <c r="N167" s="68"/>
    </row>
    <row r="168" ht="24" customHeight="1" spans="1:16">
      <c r="A168" s="71" t="s">
        <v>232</v>
      </c>
      <c r="B168" s="65" t="s">
        <v>32</v>
      </c>
      <c r="C168" s="72">
        <v>16</v>
      </c>
      <c r="D168" s="72">
        <v>340</v>
      </c>
      <c r="E168" s="72">
        <f>E167</f>
        <v>66250</v>
      </c>
      <c r="F168" s="72">
        <v>4</v>
      </c>
      <c r="G168" s="73">
        <f t="shared" si="24"/>
        <v>11316.56</v>
      </c>
      <c r="H168" s="94"/>
      <c r="I168" s="66">
        <v>16</v>
      </c>
      <c r="J168" s="66">
        <f>340*5+10</f>
        <v>1710</v>
      </c>
      <c r="K168" s="66">
        <v>8900</v>
      </c>
      <c r="L168" s="66">
        <v>6</v>
      </c>
      <c r="M168" s="67">
        <f t="shared" ref="M168:M173" si="25">L168*K168*J168*I168*7.85/1000000</f>
        <v>11469.0384</v>
      </c>
      <c r="N168" s="68" t="s">
        <v>232</v>
      </c>
      <c r="O168">
        <f>K168*L168*5</f>
        <v>267000</v>
      </c>
      <c r="P168" t="s">
        <v>233</v>
      </c>
    </row>
    <row r="169" ht="24" customHeight="1" spans="1:14">
      <c r="A169" s="71" t="s">
        <v>15</v>
      </c>
      <c r="B169" s="65" t="s">
        <v>32</v>
      </c>
      <c r="C169" s="90" t="s">
        <v>99</v>
      </c>
      <c r="D169" s="90" t="s">
        <v>100</v>
      </c>
      <c r="E169" s="90" t="s">
        <v>101</v>
      </c>
      <c r="F169" s="90">
        <f>F170*2</f>
        <v>70</v>
      </c>
      <c r="G169" s="92">
        <f t="shared" si="24"/>
        <v>1153.580736</v>
      </c>
      <c r="H169" s="94"/>
      <c r="I169" s="66">
        <v>12</v>
      </c>
      <c r="J169" s="66">
        <v>1500</v>
      </c>
      <c r="K169" s="66">
        <v>7980</v>
      </c>
      <c r="L169" s="66">
        <v>1</v>
      </c>
      <c r="M169" s="67">
        <f t="shared" si="25"/>
        <v>1127.574</v>
      </c>
      <c r="N169" s="69" t="s">
        <v>234</v>
      </c>
    </row>
    <row r="170" ht="24" customHeight="1" spans="1:14">
      <c r="A170" s="71" t="s">
        <v>16</v>
      </c>
      <c r="B170" s="65" t="s">
        <v>32</v>
      </c>
      <c r="C170" s="90" t="s">
        <v>99</v>
      </c>
      <c r="D170" s="90" t="s">
        <v>102</v>
      </c>
      <c r="E170" s="90">
        <v>2500</v>
      </c>
      <c r="F170" s="91">
        <v>35</v>
      </c>
      <c r="G170" s="92">
        <f t="shared" si="24"/>
        <v>2670.57</v>
      </c>
      <c r="H170" s="94"/>
      <c r="I170" s="66">
        <v>12</v>
      </c>
      <c r="J170" s="66">
        <v>1960</v>
      </c>
      <c r="K170" s="66">
        <v>10020</v>
      </c>
      <c r="L170" s="66">
        <v>1</v>
      </c>
      <c r="M170" s="67">
        <f t="shared" si="25"/>
        <v>1850.01264</v>
      </c>
      <c r="N170" s="68" t="s">
        <v>16</v>
      </c>
    </row>
    <row r="171" ht="24" customHeight="1" spans="1:14">
      <c r="A171" s="71" t="s">
        <v>17</v>
      </c>
      <c r="B171" s="65" t="s">
        <v>32</v>
      </c>
      <c r="C171" s="90" t="s">
        <v>99</v>
      </c>
      <c r="D171" s="90">
        <v>340</v>
      </c>
      <c r="E171" s="90" t="s">
        <v>228</v>
      </c>
      <c r="F171" s="90">
        <f>F170*2</f>
        <v>70</v>
      </c>
      <c r="G171" s="92">
        <f t="shared" si="24"/>
        <v>896.784</v>
      </c>
      <c r="H171" s="94"/>
      <c r="I171" s="66">
        <v>12</v>
      </c>
      <c r="J171" s="66">
        <v>1960</v>
      </c>
      <c r="K171" s="66">
        <v>5010</v>
      </c>
      <c r="L171" s="66">
        <v>1</v>
      </c>
      <c r="M171" s="67">
        <f t="shared" si="25"/>
        <v>925.00632</v>
      </c>
      <c r="N171" s="68" t="s">
        <v>16</v>
      </c>
    </row>
    <row r="172" ht="24" customHeight="1" spans="1:14">
      <c r="A172" s="71" t="s">
        <v>18</v>
      </c>
      <c r="B172" s="65" t="s">
        <v>32</v>
      </c>
      <c r="C172" s="90" t="s">
        <v>96</v>
      </c>
      <c r="D172" s="90">
        <v>2500</v>
      </c>
      <c r="E172" s="90">
        <f>E166</f>
        <v>66250</v>
      </c>
      <c r="F172" s="90">
        <v>1</v>
      </c>
      <c r="G172" s="92">
        <f t="shared" si="24"/>
        <v>20802.5</v>
      </c>
      <c r="H172" s="94"/>
      <c r="I172" s="66">
        <v>12</v>
      </c>
      <c r="J172" s="66">
        <v>1500</v>
      </c>
      <c r="K172" s="66">
        <v>6500</v>
      </c>
      <c r="L172" s="66">
        <v>1</v>
      </c>
      <c r="M172" s="67">
        <f t="shared" si="25"/>
        <v>918.45</v>
      </c>
      <c r="N172" s="68" t="s">
        <v>17</v>
      </c>
    </row>
    <row r="173" ht="24" customHeight="1" spans="1:16">
      <c r="A173" s="71" t="s">
        <v>19</v>
      </c>
      <c r="B173" s="65" t="s">
        <v>32</v>
      </c>
      <c r="C173" s="90" t="s">
        <v>96</v>
      </c>
      <c r="D173" s="90" t="s">
        <v>103</v>
      </c>
      <c r="E173" s="90">
        <f>E166</f>
        <v>66250</v>
      </c>
      <c r="F173" s="90">
        <v>2</v>
      </c>
      <c r="G173" s="92">
        <f t="shared" si="24"/>
        <v>8021.444</v>
      </c>
      <c r="H173" s="94"/>
      <c r="I173" s="66">
        <v>16</v>
      </c>
      <c r="J173" s="66">
        <v>1940</v>
      </c>
      <c r="K173" s="66">
        <v>8300</v>
      </c>
      <c r="L173" s="66">
        <v>4</v>
      </c>
      <c r="M173" s="67">
        <f t="shared" si="25"/>
        <v>8089.6448</v>
      </c>
      <c r="N173" s="69" t="s">
        <v>19</v>
      </c>
      <c r="O173">
        <f>K173*L173*4</f>
        <v>132800</v>
      </c>
      <c r="P173" t="s">
        <v>233</v>
      </c>
    </row>
    <row r="174" ht="24" customHeight="1" spans="9:14">
      <c r="I174" s="98">
        <f>E173*F173/1000</f>
        <v>132.5</v>
      </c>
      <c r="J174" s="100">
        <f>E173*F173/4/L173</f>
        <v>8281.25</v>
      </c>
      <c r="K174" s="101">
        <f>(M174-L174)/L174</f>
        <v>0.0133333987637616</v>
      </c>
      <c r="L174" s="102">
        <f>SUM(G168:G171,G173)</f>
        <v>24058.938736</v>
      </c>
      <c r="M174" s="102">
        <f>SUM(M168:M173)</f>
        <v>24379.72616</v>
      </c>
      <c r="N174" s="82"/>
    </row>
    <row r="175" s="82" customFormat="1" ht="24" customHeight="1" spans="1:1">
      <c r="A175" s="82" t="s">
        <v>265</v>
      </c>
    </row>
    <row r="176" s="82" customFormat="1" ht="24" customHeight="1" spans="1:14">
      <c r="A176" s="112" t="s">
        <v>0</v>
      </c>
      <c r="B176" s="113" t="s">
        <v>24</v>
      </c>
      <c r="C176" s="113" t="s">
        <v>1</v>
      </c>
      <c r="D176" s="114"/>
      <c r="E176" s="114"/>
      <c r="F176" s="113" t="s">
        <v>2</v>
      </c>
      <c r="G176" s="113" t="s">
        <v>3</v>
      </c>
      <c r="H176" s="115" t="s">
        <v>30</v>
      </c>
      <c r="I176" s="66" t="s">
        <v>266</v>
      </c>
      <c r="J176" s="66"/>
      <c r="K176" s="66"/>
      <c r="L176" s="66"/>
      <c r="M176" s="66"/>
      <c r="N176" s="66"/>
    </row>
    <row r="177" s="82" customFormat="1" ht="24" customHeight="1" spans="1:14">
      <c r="A177" s="116"/>
      <c r="B177" s="117"/>
      <c r="C177" s="69" t="s">
        <v>8</v>
      </c>
      <c r="D177" s="69" t="s">
        <v>9</v>
      </c>
      <c r="E177" s="69" t="s">
        <v>10</v>
      </c>
      <c r="F177" s="117"/>
      <c r="G177" s="117"/>
      <c r="H177" s="118"/>
      <c r="I177" s="66" t="s">
        <v>4</v>
      </c>
      <c r="J177" s="66" t="s">
        <v>5</v>
      </c>
      <c r="K177" s="66" t="s">
        <v>6</v>
      </c>
      <c r="L177" s="66" t="s">
        <v>3</v>
      </c>
      <c r="M177" s="66" t="s">
        <v>7</v>
      </c>
      <c r="N177" s="68" t="s">
        <v>30</v>
      </c>
    </row>
    <row r="178" s="82" customFormat="1" ht="24" customHeight="1" spans="1:14">
      <c r="A178" s="119" t="s">
        <v>11</v>
      </c>
      <c r="B178" s="69" t="s">
        <v>32</v>
      </c>
      <c r="C178" s="72" t="s">
        <v>96</v>
      </c>
      <c r="D178" s="72">
        <v>4500</v>
      </c>
      <c r="E178" s="72">
        <f>57960+50+7*5</f>
        <v>58045</v>
      </c>
      <c r="F178" s="72" t="s">
        <v>97</v>
      </c>
      <c r="G178" s="73">
        <f t="shared" ref="G178:G185" si="26">E178*D178*C178*7850/1000000000*F178</f>
        <v>32807.034</v>
      </c>
      <c r="H178" s="120" t="s">
        <v>267</v>
      </c>
      <c r="I178" s="66"/>
      <c r="J178" s="66"/>
      <c r="K178" s="66"/>
      <c r="L178" s="66"/>
      <c r="M178" s="66"/>
      <c r="N178" s="68"/>
    </row>
    <row r="179" s="82" customFormat="1" ht="24" customHeight="1" spans="1:14">
      <c r="A179" s="71" t="s">
        <v>231</v>
      </c>
      <c r="B179" s="69" t="s">
        <v>32</v>
      </c>
      <c r="C179" s="72">
        <v>16</v>
      </c>
      <c r="D179" s="72">
        <v>600</v>
      </c>
      <c r="E179" s="72">
        <f>E178</f>
        <v>58045</v>
      </c>
      <c r="F179" s="72">
        <v>4</v>
      </c>
      <c r="G179" s="73">
        <f t="shared" si="26"/>
        <v>17497.0848</v>
      </c>
      <c r="H179" s="120"/>
      <c r="I179" s="98">
        <f>E179*F179/1000</f>
        <v>232.18</v>
      </c>
      <c r="J179" s="121">
        <f>E180*F180/5/L180</f>
        <v>9287.2</v>
      </c>
      <c r="K179" s="66"/>
      <c r="L179" s="66"/>
      <c r="M179" s="66"/>
      <c r="N179" s="68"/>
    </row>
    <row r="180" s="82" customFormat="1" ht="24" customHeight="1" spans="1:16">
      <c r="A180" s="71" t="s">
        <v>232</v>
      </c>
      <c r="B180" s="69" t="s">
        <v>32</v>
      </c>
      <c r="C180" s="72">
        <v>16</v>
      </c>
      <c r="D180" s="72">
        <v>340</v>
      </c>
      <c r="E180" s="72">
        <f>E179</f>
        <v>58045</v>
      </c>
      <c r="F180" s="72">
        <v>4</v>
      </c>
      <c r="G180" s="73">
        <f t="shared" si="26"/>
        <v>9915.01472</v>
      </c>
      <c r="H180" s="120"/>
      <c r="I180" s="66">
        <v>16</v>
      </c>
      <c r="J180" s="66">
        <f>340*5+10</f>
        <v>1710</v>
      </c>
      <c r="K180" s="66">
        <v>9350</v>
      </c>
      <c r="L180" s="66">
        <v>5</v>
      </c>
      <c r="M180" s="67">
        <f t="shared" ref="M180:M182" si="27">L180*K180*J180*I180*7.85/1000000</f>
        <v>10040.778</v>
      </c>
      <c r="N180" s="68" t="s">
        <v>232</v>
      </c>
      <c r="O180">
        <f>K180*L180*5</f>
        <v>233750</v>
      </c>
      <c r="P180" t="s">
        <v>233</v>
      </c>
    </row>
    <row r="181" s="82" customFormat="1" ht="24" customHeight="1" spans="1:14">
      <c r="A181" s="119" t="s">
        <v>15</v>
      </c>
      <c r="B181" s="69" t="s">
        <v>32</v>
      </c>
      <c r="C181" s="72" t="s">
        <v>99</v>
      </c>
      <c r="D181" s="72" t="s">
        <v>100</v>
      </c>
      <c r="E181" s="72" t="s">
        <v>101</v>
      </c>
      <c r="F181" s="72">
        <f>F182*2</f>
        <v>62</v>
      </c>
      <c r="G181" s="73">
        <f t="shared" si="26"/>
        <v>1021.7429376</v>
      </c>
      <c r="H181" s="120"/>
      <c r="I181" s="66">
        <v>12</v>
      </c>
      <c r="J181" s="66">
        <v>1500</v>
      </c>
      <c r="K181" s="66">
        <v>7420</v>
      </c>
      <c r="L181" s="66">
        <v>1</v>
      </c>
      <c r="M181" s="67">
        <f t="shared" si="27"/>
        <v>1048.446</v>
      </c>
      <c r="N181" s="69" t="s">
        <v>234</v>
      </c>
    </row>
    <row r="182" s="82" customFormat="1" ht="24" customHeight="1" spans="1:14">
      <c r="A182" s="119" t="s">
        <v>16</v>
      </c>
      <c r="B182" s="69" t="s">
        <v>32</v>
      </c>
      <c r="C182" s="72" t="s">
        <v>99</v>
      </c>
      <c r="D182" s="72" t="s">
        <v>102</v>
      </c>
      <c r="E182" s="72">
        <v>2500</v>
      </c>
      <c r="F182" s="72">
        <v>31</v>
      </c>
      <c r="G182" s="73">
        <f t="shared" si="26"/>
        <v>2365.362</v>
      </c>
      <c r="H182" s="120"/>
      <c r="I182" s="66">
        <v>12</v>
      </c>
      <c r="J182" s="66">
        <v>1960</v>
      </c>
      <c r="K182" s="66">
        <v>10020</v>
      </c>
      <c r="L182" s="66">
        <v>1</v>
      </c>
      <c r="M182" s="67">
        <f t="shared" si="27"/>
        <v>1850.01264</v>
      </c>
      <c r="N182" s="68" t="s">
        <v>16</v>
      </c>
    </row>
    <row r="183" s="82" customFormat="1" ht="24" customHeight="1" spans="1:14">
      <c r="A183" s="71" t="s">
        <v>17</v>
      </c>
      <c r="B183" s="65" t="s">
        <v>32</v>
      </c>
      <c r="C183" s="90" t="s">
        <v>99</v>
      </c>
      <c r="D183" s="90">
        <v>340</v>
      </c>
      <c r="E183" s="90" t="s">
        <v>228</v>
      </c>
      <c r="F183" s="72">
        <f>F182*2</f>
        <v>62</v>
      </c>
      <c r="G183" s="73">
        <f t="shared" si="26"/>
        <v>794.2944</v>
      </c>
      <c r="H183" s="120"/>
      <c r="I183" s="66"/>
      <c r="J183" s="66"/>
      <c r="K183" s="66"/>
      <c r="L183" s="66"/>
      <c r="M183" s="67"/>
      <c r="N183" s="68"/>
    </row>
    <row r="184" s="82" customFormat="1" ht="24" customHeight="1" spans="1:14">
      <c r="A184" s="119" t="s">
        <v>18</v>
      </c>
      <c r="B184" s="69" t="s">
        <v>32</v>
      </c>
      <c r="C184" s="72" t="s">
        <v>96</v>
      </c>
      <c r="D184" s="72">
        <v>2500</v>
      </c>
      <c r="E184" s="72">
        <f>E178</f>
        <v>58045</v>
      </c>
      <c r="F184" s="72">
        <v>1</v>
      </c>
      <c r="G184" s="73">
        <f t="shared" si="26"/>
        <v>18226.13</v>
      </c>
      <c r="H184" s="120"/>
      <c r="I184" s="66">
        <v>12</v>
      </c>
      <c r="J184" s="66">
        <v>1500</v>
      </c>
      <c r="K184" s="66">
        <v>10020</v>
      </c>
      <c r="L184" s="66">
        <v>1</v>
      </c>
      <c r="M184" s="67">
        <f>L184*K184*J184*I184*7.85/1000000</f>
        <v>1415.826</v>
      </c>
      <c r="N184" s="68" t="s">
        <v>17</v>
      </c>
    </row>
    <row r="185" s="82" customFormat="1" ht="24" customHeight="1" spans="1:16">
      <c r="A185" s="119" t="s">
        <v>19</v>
      </c>
      <c r="B185" s="69" t="s">
        <v>32</v>
      </c>
      <c r="C185" s="72" t="s">
        <v>96</v>
      </c>
      <c r="D185" s="72" t="s">
        <v>103</v>
      </c>
      <c r="E185" s="72">
        <f>E178</f>
        <v>58045</v>
      </c>
      <c r="F185" s="72">
        <v>2</v>
      </c>
      <c r="G185" s="73">
        <f t="shared" si="26"/>
        <v>7027.995728</v>
      </c>
      <c r="H185" s="120"/>
      <c r="I185" s="66">
        <v>16</v>
      </c>
      <c r="J185" s="66">
        <v>1940</v>
      </c>
      <c r="K185" s="66">
        <v>9700</v>
      </c>
      <c r="L185" s="66">
        <v>3</v>
      </c>
      <c r="M185" s="67">
        <f>L185*K185*J185*I185*7.85/1000000</f>
        <v>7090.6224</v>
      </c>
      <c r="N185" s="69" t="s">
        <v>19</v>
      </c>
      <c r="O185">
        <f>K185*L185*4</f>
        <v>116400</v>
      </c>
      <c r="P185" t="s">
        <v>233</v>
      </c>
    </row>
    <row r="186" s="82" customFormat="1" spans="9:13">
      <c r="I186" s="98">
        <f>E185*F185/1000</f>
        <v>116.09</v>
      </c>
      <c r="J186" s="100">
        <f>E185*F185/4/L185</f>
        <v>9674.16666666667</v>
      </c>
      <c r="K186" s="101">
        <f>(M186-L186)/L186</f>
        <v>0.0152087209849056</v>
      </c>
      <c r="L186" s="102">
        <f>SUM(G180:G183,G185)</f>
        <v>21124.4097856</v>
      </c>
      <c r="M186" s="102">
        <f>SUM(M180:M185)</f>
        <v>21445.68504</v>
      </c>
    </row>
    <row r="187" s="82" customFormat="1" ht="14.25" spans="1:1">
      <c r="A187" s="82" t="s">
        <v>268</v>
      </c>
    </row>
    <row r="188" s="82" customFormat="1" ht="24" customHeight="1" spans="1:14">
      <c r="A188" s="112" t="s">
        <v>0</v>
      </c>
      <c r="B188" s="113" t="s">
        <v>24</v>
      </c>
      <c r="C188" s="113" t="s">
        <v>1</v>
      </c>
      <c r="D188" s="114"/>
      <c r="E188" s="114"/>
      <c r="F188" s="113" t="s">
        <v>2</v>
      </c>
      <c r="G188" s="113" t="s">
        <v>3</v>
      </c>
      <c r="H188" s="115" t="s">
        <v>30</v>
      </c>
      <c r="I188" s="66" t="s">
        <v>269</v>
      </c>
      <c r="J188" s="66"/>
      <c r="K188" s="66"/>
      <c r="L188" s="66"/>
      <c r="M188" s="66"/>
      <c r="N188" s="66"/>
    </row>
    <row r="189" s="82" customFormat="1" ht="24" customHeight="1" spans="1:14">
      <c r="A189" s="116"/>
      <c r="B189" s="117"/>
      <c r="C189" s="69" t="s">
        <v>8</v>
      </c>
      <c r="D189" s="69" t="s">
        <v>9</v>
      </c>
      <c r="E189" s="69" t="s">
        <v>10</v>
      </c>
      <c r="F189" s="117"/>
      <c r="G189" s="117"/>
      <c r="H189" s="118"/>
      <c r="I189" s="66" t="s">
        <v>4</v>
      </c>
      <c r="J189" s="66" t="s">
        <v>5</v>
      </c>
      <c r="K189" s="66" t="s">
        <v>6</v>
      </c>
      <c r="L189" s="66" t="s">
        <v>3</v>
      </c>
      <c r="M189" s="66" t="s">
        <v>7</v>
      </c>
      <c r="N189" s="68" t="s">
        <v>30</v>
      </c>
    </row>
    <row r="190" s="82" customFormat="1" ht="24" customHeight="1" spans="1:14">
      <c r="A190" s="119" t="s">
        <v>11</v>
      </c>
      <c r="B190" s="69" t="s">
        <v>32</v>
      </c>
      <c r="C190" s="72" t="s">
        <v>96</v>
      </c>
      <c r="D190" s="72">
        <v>4500</v>
      </c>
      <c r="E190" s="72">
        <f>97960+50+12*5+200</f>
        <v>98270</v>
      </c>
      <c r="F190" s="72" t="s">
        <v>97</v>
      </c>
      <c r="G190" s="73">
        <f t="shared" ref="G190:G197" si="28">E190*D190*C190*7850/1000000000*F190</f>
        <v>55542.204</v>
      </c>
      <c r="H190" s="120" t="s">
        <v>270</v>
      </c>
      <c r="I190" s="66"/>
      <c r="J190" s="66"/>
      <c r="K190" s="66"/>
      <c r="L190" s="66"/>
      <c r="M190" s="66"/>
      <c r="N190" s="68"/>
    </row>
    <row r="191" s="82" customFormat="1" ht="24" customHeight="1" spans="1:14">
      <c r="A191" s="71" t="s">
        <v>231</v>
      </c>
      <c r="B191" s="69" t="s">
        <v>32</v>
      </c>
      <c r="C191" s="72">
        <v>16</v>
      </c>
      <c r="D191" s="72">
        <v>600</v>
      </c>
      <c r="E191" s="72">
        <f>E190</f>
        <v>98270</v>
      </c>
      <c r="F191" s="72">
        <v>4</v>
      </c>
      <c r="G191" s="73">
        <f t="shared" si="28"/>
        <v>29622.5088</v>
      </c>
      <c r="H191" s="120"/>
      <c r="I191" s="98">
        <f>E191*F191/1000</f>
        <v>393.08</v>
      </c>
      <c r="J191" s="121">
        <f>E192*F192/5/L192</f>
        <v>9827</v>
      </c>
      <c r="K191" s="66"/>
      <c r="L191" s="66"/>
      <c r="M191" s="66"/>
      <c r="N191" s="68"/>
    </row>
    <row r="192" s="82" customFormat="1" ht="24" customHeight="1" spans="1:16">
      <c r="A192" s="71" t="s">
        <v>232</v>
      </c>
      <c r="B192" s="69" t="s">
        <v>32</v>
      </c>
      <c r="C192" s="72">
        <v>16</v>
      </c>
      <c r="D192" s="72">
        <v>340</v>
      </c>
      <c r="E192" s="72">
        <f>E191</f>
        <v>98270</v>
      </c>
      <c r="F192" s="72">
        <v>4</v>
      </c>
      <c r="G192" s="73">
        <f t="shared" si="28"/>
        <v>16786.08832</v>
      </c>
      <c r="H192" s="120"/>
      <c r="I192" s="66">
        <v>16</v>
      </c>
      <c r="J192" s="66">
        <f>340*5+10</f>
        <v>1710</v>
      </c>
      <c r="K192" s="66">
        <v>9850</v>
      </c>
      <c r="L192" s="66">
        <v>8</v>
      </c>
      <c r="M192" s="67">
        <f t="shared" ref="M192:M194" si="29">L192*K192*J192*I192*7.85/1000000</f>
        <v>16924.3488</v>
      </c>
      <c r="N192" s="68" t="s">
        <v>232</v>
      </c>
      <c r="O192">
        <f>K192*L192*5</f>
        <v>394000</v>
      </c>
      <c r="P192" t="s">
        <v>233</v>
      </c>
    </row>
    <row r="193" s="82" customFormat="1" ht="24" customHeight="1" spans="1:16">
      <c r="A193" s="119" t="s">
        <v>15</v>
      </c>
      <c r="B193" s="69" t="s">
        <v>32</v>
      </c>
      <c r="C193" s="72" t="s">
        <v>99</v>
      </c>
      <c r="D193" s="72" t="s">
        <v>100</v>
      </c>
      <c r="E193" s="72" t="s">
        <v>101</v>
      </c>
      <c r="F193" s="72">
        <f>F194*2</f>
        <v>102</v>
      </c>
      <c r="G193" s="73">
        <f t="shared" si="28"/>
        <v>1680.9319296</v>
      </c>
      <c r="H193" s="120"/>
      <c r="I193" s="55">
        <v>12</v>
      </c>
      <c r="J193" s="55">
        <v>1500</v>
      </c>
      <c r="K193" s="55">
        <v>5700</v>
      </c>
      <c r="L193" s="55">
        <v>2</v>
      </c>
      <c r="M193" s="103">
        <f t="shared" si="29"/>
        <v>1610.82</v>
      </c>
      <c r="N193" s="104" t="s">
        <v>234</v>
      </c>
      <c r="P193" t="s">
        <v>233</v>
      </c>
    </row>
    <row r="194" s="82" customFormat="1" ht="24" customHeight="1" spans="1:16">
      <c r="A194" s="119" t="s">
        <v>16</v>
      </c>
      <c r="B194" s="69" t="s">
        <v>32</v>
      </c>
      <c r="C194" s="72" t="s">
        <v>99</v>
      </c>
      <c r="D194" s="72" t="s">
        <v>102</v>
      </c>
      <c r="E194" s="72">
        <v>2500</v>
      </c>
      <c r="F194" s="72">
        <v>51</v>
      </c>
      <c r="G194" s="73">
        <f t="shared" si="28"/>
        <v>3891.402</v>
      </c>
      <c r="H194" s="120"/>
      <c r="I194" s="55">
        <v>12</v>
      </c>
      <c r="J194" s="55">
        <v>1960</v>
      </c>
      <c r="K194" s="55">
        <v>10020</v>
      </c>
      <c r="L194" s="55">
        <v>2</v>
      </c>
      <c r="M194" s="103">
        <f t="shared" si="29"/>
        <v>3700.02528</v>
      </c>
      <c r="N194" s="105" t="s">
        <v>16</v>
      </c>
      <c r="P194" t="s">
        <v>233</v>
      </c>
    </row>
    <row r="195" s="82" customFormat="1" ht="24" customHeight="1" spans="1:16">
      <c r="A195" s="71" t="s">
        <v>17</v>
      </c>
      <c r="B195" s="65" t="s">
        <v>32</v>
      </c>
      <c r="C195" s="90" t="s">
        <v>99</v>
      </c>
      <c r="D195" s="90">
        <v>340</v>
      </c>
      <c r="E195" s="90" t="s">
        <v>228</v>
      </c>
      <c r="F195" s="72">
        <f>F194*2</f>
        <v>102</v>
      </c>
      <c r="G195" s="73">
        <f t="shared" si="28"/>
        <v>1306.7424</v>
      </c>
      <c r="H195" s="120"/>
      <c r="I195" s="55"/>
      <c r="J195" s="55"/>
      <c r="K195" s="55"/>
      <c r="L195" s="55"/>
      <c r="M195" s="103"/>
      <c r="N195" s="105"/>
      <c r="P195" t="s">
        <v>233</v>
      </c>
    </row>
    <row r="196" s="82" customFormat="1" ht="24" customHeight="1" spans="1:16">
      <c r="A196" s="119" t="s">
        <v>18</v>
      </c>
      <c r="B196" s="69" t="s">
        <v>32</v>
      </c>
      <c r="C196" s="72" t="s">
        <v>96</v>
      </c>
      <c r="D196" s="72">
        <v>2500</v>
      </c>
      <c r="E196" s="72">
        <f>E190</f>
        <v>98270</v>
      </c>
      <c r="F196" s="72">
        <v>1</v>
      </c>
      <c r="G196" s="73">
        <f t="shared" si="28"/>
        <v>30856.78</v>
      </c>
      <c r="H196" s="120"/>
      <c r="I196" s="55">
        <v>12</v>
      </c>
      <c r="J196" s="55">
        <v>1500</v>
      </c>
      <c r="K196" s="55">
        <v>6150</v>
      </c>
      <c r="L196" s="55">
        <v>2</v>
      </c>
      <c r="M196" s="103">
        <f>L196*K196*J196*I196*7.85/1000000</f>
        <v>1737.99</v>
      </c>
      <c r="N196" s="105" t="s">
        <v>17</v>
      </c>
      <c r="P196" t="s">
        <v>233</v>
      </c>
    </row>
    <row r="197" s="82" customFormat="1" ht="24" customHeight="1" spans="1:16">
      <c r="A197" s="119" t="s">
        <v>19</v>
      </c>
      <c r="B197" s="69" t="s">
        <v>32</v>
      </c>
      <c r="C197" s="72" t="s">
        <v>96</v>
      </c>
      <c r="D197" s="72" t="s">
        <v>103</v>
      </c>
      <c r="E197" s="72">
        <f>E190</f>
        <v>98270</v>
      </c>
      <c r="F197" s="72">
        <v>2</v>
      </c>
      <c r="G197" s="73">
        <f t="shared" si="28"/>
        <v>11898.374368</v>
      </c>
      <c r="H197" s="120"/>
      <c r="I197" s="66">
        <v>16</v>
      </c>
      <c r="J197" s="66">
        <v>1940</v>
      </c>
      <c r="K197" s="66">
        <v>9850</v>
      </c>
      <c r="L197" s="66">
        <v>5</v>
      </c>
      <c r="M197" s="67">
        <f>L197*K197*J197*I197*7.85/1000000</f>
        <v>12000.452</v>
      </c>
      <c r="N197" s="69" t="s">
        <v>19</v>
      </c>
      <c r="O197">
        <f>K197*L197*4</f>
        <v>197000</v>
      </c>
      <c r="P197" t="s">
        <v>233</v>
      </c>
    </row>
    <row r="198" s="82" customFormat="1" ht="24" customHeight="1" spans="9:13">
      <c r="I198" s="98">
        <f>E197*F197/1000</f>
        <v>196.54</v>
      </c>
      <c r="J198" s="127">
        <f>E197*F197/4/L197</f>
        <v>9827</v>
      </c>
      <c r="K198" s="101">
        <f>(M198-L198)/L198</f>
        <v>0.0115313906806927</v>
      </c>
      <c r="L198" s="102">
        <f>SUM(G192:G195,G197)</f>
        <v>35563.5390176</v>
      </c>
      <c r="M198" s="102">
        <f>SUM(M192:M197)</f>
        <v>35973.63608</v>
      </c>
    </row>
    <row r="199" s="82" customFormat="1" ht="14.25" spans="1:1">
      <c r="A199" s="82" t="s">
        <v>271</v>
      </c>
    </row>
    <row r="200" s="82" customFormat="1" ht="24" customHeight="1" spans="1:14">
      <c r="A200" s="112" t="s">
        <v>0</v>
      </c>
      <c r="B200" s="113" t="s">
        <v>24</v>
      </c>
      <c r="C200" s="113" t="s">
        <v>1</v>
      </c>
      <c r="D200" s="114"/>
      <c r="E200" s="114"/>
      <c r="F200" s="113" t="s">
        <v>2</v>
      </c>
      <c r="G200" s="113" t="s">
        <v>3</v>
      </c>
      <c r="H200" s="115" t="s">
        <v>30</v>
      </c>
      <c r="I200" s="66" t="s">
        <v>272</v>
      </c>
      <c r="J200" s="66"/>
      <c r="K200" s="66"/>
      <c r="L200" s="66"/>
      <c r="M200" s="66"/>
      <c r="N200" s="66"/>
    </row>
    <row r="201" s="82" customFormat="1" ht="24" customHeight="1" spans="1:14">
      <c r="A201" s="116"/>
      <c r="B201" s="117"/>
      <c r="C201" s="69" t="s">
        <v>8</v>
      </c>
      <c r="D201" s="69" t="s">
        <v>9</v>
      </c>
      <c r="E201" s="69" t="s">
        <v>10</v>
      </c>
      <c r="F201" s="117"/>
      <c r="G201" s="117"/>
      <c r="H201" s="118"/>
      <c r="I201" s="66" t="s">
        <v>4</v>
      </c>
      <c r="J201" s="66" t="s">
        <v>5</v>
      </c>
      <c r="K201" s="66" t="s">
        <v>6</v>
      </c>
      <c r="L201" s="66" t="s">
        <v>3</v>
      </c>
      <c r="M201" s="66" t="s">
        <v>7</v>
      </c>
      <c r="N201" s="68" t="s">
        <v>30</v>
      </c>
    </row>
    <row r="202" s="82" customFormat="1" ht="24" customHeight="1" spans="1:14">
      <c r="A202" s="119" t="s">
        <v>11</v>
      </c>
      <c r="B202" s="69" t="s">
        <v>32</v>
      </c>
      <c r="C202" s="72" t="s">
        <v>96</v>
      </c>
      <c r="D202" s="72">
        <v>4500</v>
      </c>
      <c r="E202" s="72">
        <f>65960+8*5+50+200</f>
        <v>66250</v>
      </c>
      <c r="F202" s="72" t="s">
        <v>97</v>
      </c>
      <c r="G202" s="73">
        <f t="shared" ref="G202:G209" si="30">E202*D202*C202*7850/1000000000*F202</f>
        <v>37444.5</v>
      </c>
      <c r="H202" s="120" t="s">
        <v>273</v>
      </c>
      <c r="I202" s="66"/>
      <c r="J202" s="66"/>
      <c r="K202" s="66"/>
      <c r="L202" s="66"/>
      <c r="M202" s="66"/>
      <c r="N202" s="68"/>
    </row>
    <row r="203" s="82" customFormat="1" ht="24" customHeight="1" spans="1:14">
      <c r="A203" s="71" t="s">
        <v>231</v>
      </c>
      <c r="B203" s="69" t="s">
        <v>32</v>
      </c>
      <c r="C203" s="72">
        <v>16</v>
      </c>
      <c r="D203" s="72">
        <v>600</v>
      </c>
      <c r="E203" s="72">
        <f>E202</f>
        <v>66250</v>
      </c>
      <c r="F203" s="72">
        <v>4</v>
      </c>
      <c r="G203" s="73">
        <f t="shared" si="30"/>
        <v>19970.4</v>
      </c>
      <c r="H203" s="120"/>
      <c r="I203" s="98">
        <f>E203*F203/1000</f>
        <v>265</v>
      </c>
      <c r="J203" s="121">
        <f>E204*F204/5/L204</f>
        <v>8833.33333333333</v>
      </c>
      <c r="K203" s="66"/>
      <c r="L203" s="66"/>
      <c r="M203" s="66"/>
      <c r="N203" s="68"/>
    </row>
    <row r="204" s="82" customFormat="1" ht="24" customHeight="1" spans="1:16">
      <c r="A204" s="71" t="s">
        <v>232</v>
      </c>
      <c r="B204" s="69" t="s">
        <v>32</v>
      </c>
      <c r="C204" s="72">
        <v>16</v>
      </c>
      <c r="D204" s="72">
        <v>340</v>
      </c>
      <c r="E204" s="72">
        <f>E203</f>
        <v>66250</v>
      </c>
      <c r="F204" s="72">
        <v>4</v>
      </c>
      <c r="G204" s="73">
        <f t="shared" si="30"/>
        <v>11316.56</v>
      </c>
      <c r="H204" s="120"/>
      <c r="I204" s="66">
        <v>16</v>
      </c>
      <c r="J204" s="66">
        <f>340*5+10</f>
        <v>1710</v>
      </c>
      <c r="K204" s="66">
        <v>8900</v>
      </c>
      <c r="L204" s="66">
        <v>6</v>
      </c>
      <c r="M204" s="67">
        <f t="shared" ref="M204:M209" si="31">L204*K204*J204*I204*7.85/1000000</f>
        <v>11469.0384</v>
      </c>
      <c r="N204" s="68" t="s">
        <v>232</v>
      </c>
      <c r="O204">
        <f>K204*L204*5</f>
        <v>267000</v>
      </c>
      <c r="P204" t="s">
        <v>233</v>
      </c>
    </row>
    <row r="205" s="82" customFormat="1" ht="24" customHeight="1" spans="1:14">
      <c r="A205" s="119" t="s">
        <v>15</v>
      </c>
      <c r="B205" s="69" t="s">
        <v>32</v>
      </c>
      <c r="C205" s="72" t="s">
        <v>99</v>
      </c>
      <c r="D205" s="72" t="s">
        <v>100</v>
      </c>
      <c r="E205" s="72" t="s">
        <v>101</v>
      </c>
      <c r="F205" s="72">
        <f>F206*2</f>
        <v>70</v>
      </c>
      <c r="G205" s="73">
        <f t="shared" si="30"/>
        <v>1153.580736</v>
      </c>
      <c r="H205" s="120"/>
      <c r="I205" s="66">
        <v>12</v>
      </c>
      <c r="J205" s="66">
        <v>1500</v>
      </c>
      <c r="K205" s="66">
        <v>7980</v>
      </c>
      <c r="L205" s="66">
        <v>1</v>
      </c>
      <c r="M205" s="67">
        <f t="shared" si="31"/>
        <v>1127.574</v>
      </c>
      <c r="N205" s="69" t="s">
        <v>234</v>
      </c>
    </row>
    <row r="206" s="82" customFormat="1" ht="24" customHeight="1" spans="1:14">
      <c r="A206" s="119" t="s">
        <v>16</v>
      </c>
      <c r="B206" s="69" t="s">
        <v>32</v>
      </c>
      <c r="C206" s="72" t="s">
        <v>99</v>
      </c>
      <c r="D206" s="72" t="s">
        <v>102</v>
      </c>
      <c r="E206" s="72">
        <v>2500</v>
      </c>
      <c r="F206" s="72">
        <v>35</v>
      </c>
      <c r="G206" s="73">
        <f t="shared" si="30"/>
        <v>2670.57</v>
      </c>
      <c r="H206" s="120"/>
      <c r="I206" s="66">
        <v>12</v>
      </c>
      <c r="J206" s="66">
        <v>1960</v>
      </c>
      <c r="K206" s="66">
        <v>10020</v>
      </c>
      <c r="L206" s="66">
        <v>1</v>
      </c>
      <c r="M206" s="67">
        <f t="shared" si="31"/>
        <v>1850.01264</v>
      </c>
      <c r="N206" s="68" t="s">
        <v>16</v>
      </c>
    </row>
    <row r="207" s="82" customFormat="1" ht="24" customHeight="1" spans="1:14">
      <c r="A207" s="71" t="s">
        <v>17</v>
      </c>
      <c r="B207" s="65" t="s">
        <v>32</v>
      </c>
      <c r="C207" s="90" t="s">
        <v>99</v>
      </c>
      <c r="D207" s="90">
        <v>340</v>
      </c>
      <c r="E207" s="90" t="s">
        <v>228</v>
      </c>
      <c r="F207" s="72">
        <f>F206*2</f>
        <v>70</v>
      </c>
      <c r="G207" s="73">
        <f t="shared" si="30"/>
        <v>896.784</v>
      </c>
      <c r="H207" s="120"/>
      <c r="I207" s="66">
        <v>12</v>
      </c>
      <c r="J207" s="66">
        <v>1960</v>
      </c>
      <c r="K207" s="66">
        <v>5010</v>
      </c>
      <c r="L207" s="66">
        <v>1</v>
      </c>
      <c r="M207" s="67">
        <f t="shared" si="31"/>
        <v>925.00632</v>
      </c>
      <c r="N207" s="68" t="s">
        <v>16</v>
      </c>
    </row>
    <row r="208" s="82" customFormat="1" ht="24" customHeight="1" spans="1:14">
      <c r="A208" s="119" t="s">
        <v>18</v>
      </c>
      <c r="B208" s="69" t="s">
        <v>32</v>
      </c>
      <c r="C208" s="72" t="s">
        <v>96</v>
      </c>
      <c r="D208" s="72">
        <v>2500</v>
      </c>
      <c r="E208" s="72">
        <f>E202</f>
        <v>66250</v>
      </c>
      <c r="F208" s="72">
        <v>1</v>
      </c>
      <c r="G208" s="73">
        <f t="shared" si="30"/>
        <v>20802.5</v>
      </c>
      <c r="H208" s="120"/>
      <c r="I208" s="66">
        <v>12</v>
      </c>
      <c r="J208" s="66">
        <v>1500</v>
      </c>
      <c r="K208" s="66">
        <v>6500</v>
      </c>
      <c r="L208" s="66">
        <v>1</v>
      </c>
      <c r="M208" s="67">
        <f t="shared" si="31"/>
        <v>918.45</v>
      </c>
      <c r="N208" s="68" t="s">
        <v>17</v>
      </c>
    </row>
    <row r="209" s="82" customFormat="1" ht="24" customHeight="1" spans="1:16">
      <c r="A209" s="119" t="s">
        <v>19</v>
      </c>
      <c r="B209" s="69" t="s">
        <v>32</v>
      </c>
      <c r="C209" s="72" t="s">
        <v>96</v>
      </c>
      <c r="D209" s="72" t="s">
        <v>103</v>
      </c>
      <c r="E209" s="72">
        <f>E202</f>
        <v>66250</v>
      </c>
      <c r="F209" s="72">
        <v>2</v>
      </c>
      <c r="G209" s="73">
        <f t="shared" si="30"/>
        <v>8021.444</v>
      </c>
      <c r="H209" s="120"/>
      <c r="I209" s="66">
        <v>16</v>
      </c>
      <c r="J209" s="66">
        <v>1940</v>
      </c>
      <c r="K209" s="66">
        <v>8300</v>
      </c>
      <c r="L209" s="66">
        <v>4</v>
      </c>
      <c r="M209" s="67">
        <f t="shared" si="31"/>
        <v>8089.6448</v>
      </c>
      <c r="N209" s="69" t="s">
        <v>19</v>
      </c>
      <c r="O209">
        <f>K209*L209*4</f>
        <v>132800</v>
      </c>
      <c r="P209" t="s">
        <v>233</v>
      </c>
    </row>
    <row r="210" s="82" customFormat="1" ht="24" customHeight="1" spans="6:13">
      <c r="F210" s="82">
        <f>E209*F209</f>
        <v>132500</v>
      </c>
      <c r="I210" s="98">
        <f>E209*F209/1000</f>
        <v>132.5</v>
      </c>
      <c r="J210" s="100">
        <f>E209*F209/4/L209</f>
        <v>8281.25</v>
      </c>
      <c r="K210" s="101">
        <f>(M210-L210)/L210</f>
        <v>0.0133333987637616</v>
      </c>
      <c r="L210" s="102">
        <f>SUM(G204:G207,G209)</f>
        <v>24058.938736</v>
      </c>
      <c r="M210" s="102">
        <f>SUM(M204:M209)</f>
        <v>24379.72616</v>
      </c>
    </row>
    <row r="211" s="82" customFormat="1" ht="14.25" spans="1:1">
      <c r="A211" s="82" t="s">
        <v>274</v>
      </c>
    </row>
    <row r="212" s="82" customFormat="1" ht="24" customHeight="1" spans="1:14">
      <c r="A212" s="112" t="s">
        <v>0</v>
      </c>
      <c r="B212" s="113" t="s">
        <v>24</v>
      </c>
      <c r="C212" s="113" t="s">
        <v>1</v>
      </c>
      <c r="D212" s="114"/>
      <c r="E212" s="114"/>
      <c r="F212" s="113" t="s">
        <v>2</v>
      </c>
      <c r="G212" s="113" t="s">
        <v>3</v>
      </c>
      <c r="H212" s="122" t="s">
        <v>30</v>
      </c>
      <c r="I212" s="66" t="s">
        <v>275</v>
      </c>
      <c r="J212" s="66"/>
      <c r="K212" s="66"/>
      <c r="L212" s="66"/>
      <c r="M212" s="66"/>
      <c r="N212" s="66"/>
    </row>
    <row r="213" s="82" customFormat="1" ht="24" customHeight="1" spans="1:14">
      <c r="A213" s="116"/>
      <c r="B213" s="117"/>
      <c r="C213" s="69" t="s">
        <v>8</v>
      </c>
      <c r="D213" s="69" t="s">
        <v>9</v>
      </c>
      <c r="E213" s="69" t="s">
        <v>10</v>
      </c>
      <c r="F213" s="117"/>
      <c r="G213" s="117"/>
      <c r="H213" s="123"/>
      <c r="I213" s="66" t="s">
        <v>4</v>
      </c>
      <c r="J213" s="66" t="s">
        <v>5</v>
      </c>
      <c r="K213" s="66" t="s">
        <v>6</v>
      </c>
      <c r="L213" s="66" t="s">
        <v>3</v>
      </c>
      <c r="M213" s="66" t="s">
        <v>7</v>
      </c>
      <c r="N213" s="68" t="s">
        <v>30</v>
      </c>
    </row>
    <row r="214" s="82" customFormat="1" ht="24" customHeight="1" spans="1:14">
      <c r="A214" s="119" t="s">
        <v>11</v>
      </c>
      <c r="B214" s="69" t="s">
        <v>32</v>
      </c>
      <c r="C214" s="72" t="s">
        <v>96</v>
      </c>
      <c r="D214" s="72">
        <v>4500</v>
      </c>
      <c r="E214" s="72">
        <f>113260+14*5+50+200</f>
        <v>113580</v>
      </c>
      <c r="F214" s="72" t="s">
        <v>97</v>
      </c>
      <c r="G214" s="73">
        <f t="shared" ref="G214:G221" si="32">E214*D214*C214*7850/1000000000*F214</f>
        <v>64195.416</v>
      </c>
      <c r="H214" s="124" t="s">
        <v>276</v>
      </c>
      <c r="I214" s="66"/>
      <c r="J214" s="66"/>
      <c r="K214" s="66"/>
      <c r="L214" s="66"/>
      <c r="M214" s="66"/>
      <c r="N214" s="68"/>
    </row>
    <row r="215" s="82" customFormat="1" ht="24" customHeight="1" spans="1:14">
      <c r="A215" s="71" t="s">
        <v>231</v>
      </c>
      <c r="B215" s="69" t="s">
        <v>32</v>
      </c>
      <c r="C215" s="72">
        <v>16</v>
      </c>
      <c r="D215" s="72">
        <v>600</v>
      </c>
      <c r="E215" s="72">
        <f>E214</f>
        <v>113580</v>
      </c>
      <c r="F215" s="72">
        <v>4</v>
      </c>
      <c r="G215" s="73">
        <f t="shared" si="32"/>
        <v>34237.5552</v>
      </c>
      <c r="H215" s="124"/>
      <c r="I215" s="98">
        <f>E215*F215/1000</f>
        <v>454.32</v>
      </c>
      <c r="J215" s="121">
        <f>E216*F216/5/L216</f>
        <v>9086.4</v>
      </c>
      <c r="K215" s="66"/>
      <c r="L215" s="66"/>
      <c r="M215" s="66"/>
      <c r="N215" s="68"/>
    </row>
    <row r="216" s="82" customFormat="1" ht="24" customHeight="1" spans="1:16">
      <c r="A216" s="71" t="s">
        <v>232</v>
      </c>
      <c r="B216" s="69" t="s">
        <v>32</v>
      </c>
      <c r="C216" s="72">
        <v>16</v>
      </c>
      <c r="D216" s="72">
        <v>340</v>
      </c>
      <c r="E216" s="72">
        <f>E214</f>
        <v>113580</v>
      </c>
      <c r="F216" s="72">
        <v>4</v>
      </c>
      <c r="G216" s="73">
        <f t="shared" si="32"/>
        <v>19401.28128</v>
      </c>
      <c r="H216" s="124"/>
      <c r="I216" s="66">
        <v>16</v>
      </c>
      <c r="J216" s="66">
        <f>340*5+10</f>
        <v>1710</v>
      </c>
      <c r="K216" s="66">
        <v>9150</v>
      </c>
      <c r="L216" s="66">
        <v>10</v>
      </c>
      <c r="M216" s="67">
        <f t="shared" ref="M216:M221" si="33">L216*K216*J216*I216*7.85/1000000</f>
        <v>19652.004</v>
      </c>
      <c r="N216" s="68" t="s">
        <v>232</v>
      </c>
      <c r="O216">
        <f>K216*L216*5</f>
        <v>457500</v>
      </c>
      <c r="P216" t="s">
        <v>233</v>
      </c>
    </row>
    <row r="217" s="82" customFormat="1" ht="24" customHeight="1" spans="1:16">
      <c r="A217" s="119" t="s">
        <v>15</v>
      </c>
      <c r="B217" s="69" t="s">
        <v>32</v>
      </c>
      <c r="C217" s="72" t="s">
        <v>99</v>
      </c>
      <c r="D217" s="72" t="s">
        <v>100</v>
      </c>
      <c r="E217" s="72" t="s">
        <v>101</v>
      </c>
      <c r="F217" s="72">
        <f>F218*2</f>
        <v>118</v>
      </c>
      <c r="G217" s="73">
        <f t="shared" si="32"/>
        <v>1944.6075264</v>
      </c>
      <c r="H217" s="124"/>
      <c r="I217" s="55">
        <v>12</v>
      </c>
      <c r="J217" s="55">
        <v>1500</v>
      </c>
      <c r="K217" s="55">
        <v>6850</v>
      </c>
      <c r="L217" s="55">
        <v>2</v>
      </c>
      <c r="M217" s="103">
        <f t="shared" si="33"/>
        <v>1935.81</v>
      </c>
      <c r="N217" s="104" t="s">
        <v>234</v>
      </c>
      <c r="P217" t="s">
        <v>233</v>
      </c>
    </row>
    <row r="218" s="82" customFormat="1" ht="24" customHeight="1" spans="1:16">
      <c r="A218" s="119" t="s">
        <v>16</v>
      </c>
      <c r="B218" s="69" t="s">
        <v>32</v>
      </c>
      <c r="C218" s="72" t="s">
        <v>99</v>
      </c>
      <c r="D218" s="72" t="s">
        <v>102</v>
      </c>
      <c r="E218" s="72">
        <v>2500</v>
      </c>
      <c r="F218" s="72">
        <v>59</v>
      </c>
      <c r="G218" s="73">
        <f t="shared" si="32"/>
        <v>4501.818</v>
      </c>
      <c r="H218" s="124"/>
      <c r="I218" s="55">
        <v>12</v>
      </c>
      <c r="J218" s="55">
        <v>1960</v>
      </c>
      <c r="K218" s="55">
        <v>10020</v>
      </c>
      <c r="L218" s="55">
        <v>2</v>
      </c>
      <c r="M218" s="103">
        <f t="shared" si="33"/>
        <v>3700.02528</v>
      </c>
      <c r="N218" s="105" t="s">
        <v>16</v>
      </c>
      <c r="P218" t="s">
        <v>233</v>
      </c>
    </row>
    <row r="219" s="82" customFormat="1" ht="24" customHeight="1" spans="1:16">
      <c r="A219" s="71" t="s">
        <v>17</v>
      </c>
      <c r="B219" s="65" t="s">
        <v>32</v>
      </c>
      <c r="C219" s="90" t="s">
        <v>99</v>
      </c>
      <c r="D219" s="90">
        <v>340</v>
      </c>
      <c r="E219" s="90" t="s">
        <v>228</v>
      </c>
      <c r="F219" s="72">
        <f>F218*2</f>
        <v>118</v>
      </c>
      <c r="G219" s="73">
        <f t="shared" si="32"/>
        <v>1511.7216</v>
      </c>
      <c r="H219" s="124"/>
      <c r="I219" s="55">
        <v>12</v>
      </c>
      <c r="J219" s="55">
        <v>1960</v>
      </c>
      <c r="K219" s="55">
        <v>5010</v>
      </c>
      <c r="L219" s="55">
        <v>1</v>
      </c>
      <c r="M219" s="103">
        <f t="shared" si="33"/>
        <v>925.00632</v>
      </c>
      <c r="N219" s="105" t="s">
        <v>16</v>
      </c>
      <c r="P219" t="s">
        <v>233</v>
      </c>
    </row>
    <row r="220" s="82" customFormat="1" ht="24" customHeight="1" spans="1:16">
      <c r="A220" s="119" t="s">
        <v>18</v>
      </c>
      <c r="B220" s="69" t="s">
        <v>32</v>
      </c>
      <c r="C220" s="72" t="s">
        <v>96</v>
      </c>
      <c r="D220" s="72">
        <v>2500</v>
      </c>
      <c r="E220" s="72">
        <f>E214</f>
        <v>113580</v>
      </c>
      <c r="F220" s="72">
        <v>1</v>
      </c>
      <c r="G220" s="73">
        <f t="shared" si="32"/>
        <v>35664.12</v>
      </c>
      <c r="H220" s="124"/>
      <c r="I220" s="55">
        <v>12</v>
      </c>
      <c r="J220" s="55">
        <v>1500</v>
      </c>
      <c r="K220" s="55">
        <v>10950</v>
      </c>
      <c r="L220" s="55">
        <v>1</v>
      </c>
      <c r="M220" s="103">
        <f t="shared" si="33"/>
        <v>1547.235</v>
      </c>
      <c r="N220" s="105" t="s">
        <v>17</v>
      </c>
      <c r="P220" t="s">
        <v>233</v>
      </c>
    </row>
    <row r="221" s="82" customFormat="1" ht="24" customHeight="1" spans="1:16">
      <c r="A221" s="119" t="s">
        <v>19</v>
      </c>
      <c r="B221" s="69" t="s">
        <v>32</v>
      </c>
      <c r="C221" s="72" t="s">
        <v>96</v>
      </c>
      <c r="D221" s="72" t="s">
        <v>103</v>
      </c>
      <c r="E221" s="72">
        <f>E214</f>
        <v>113580</v>
      </c>
      <c r="F221" s="72">
        <v>2</v>
      </c>
      <c r="G221" s="73">
        <f t="shared" si="32"/>
        <v>13752.084672</v>
      </c>
      <c r="H221" s="124"/>
      <c r="I221" s="66">
        <v>16</v>
      </c>
      <c r="J221" s="66">
        <v>1940</v>
      </c>
      <c r="K221" s="66">
        <v>9500</v>
      </c>
      <c r="L221" s="66">
        <v>6</v>
      </c>
      <c r="M221" s="67">
        <f t="shared" si="33"/>
        <v>13888.848</v>
      </c>
      <c r="N221" s="69" t="s">
        <v>19</v>
      </c>
      <c r="O221">
        <f>K221*L221*4</f>
        <v>228000</v>
      </c>
      <c r="P221" t="s">
        <v>233</v>
      </c>
    </row>
    <row r="222" s="82" customFormat="1" ht="26" customHeight="1" spans="6:13">
      <c r="F222" s="125"/>
      <c r="I222" s="98">
        <f>E221*F221/1000</f>
        <v>227.16</v>
      </c>
      <c r="J222" s="100">
        <f>E221*F221/4/L221</f>
        <v>9465</v>
      </c>
      <c r="K222" s="101">
        <f>(M222-L222)/L222</f>
        <v>0.0130721416303784</v>
      </c>
      <c r="L222" s="102">
        <f>SUM(G216:G219,G221)</f>
        <v>41111.5130784</v>
      </c>
      <c r="M222" s="102">
        <f>SUM(M216:M221)</f>
        <v>41648.9286</v>
      </c>
    </row>
    <row r="226" ht="14.25"/>
    <row r="227" ht="24" customHeight="1" spans="1:14">
      <c r="A227" s="83" t="s">
        <v>0</v>
      </c>
      <c r="B227" s="84" t="s">
        <v>24</v>
      </c>
      <c r="C227" s="84" t="s">
        <v>1</v>
      </c>
      <c r="D227" s="85"/>
      <c r="E227" s="85"/>
      <c r="F227" s="84" t="s">
        <v>3</v>
      </c>
      <c r="G227" s="84" t="s">
        <v>128</v>
      </c>
      <c r="H227" s="86" t="s">
        <v>30</v>
      </c>
      <c r="I227" s="66" t="s">
        <v>275</v>
      </c>
      <c r="J227" s="66"/>
      <c r="K227" s="66"/>
      <c r="L227" s="66"/>
      <c r="M227" s="66"/>
      <c r="N227" s="66"/>
    </row>
    <row r="228" ht="24" customHeight="1" spans="1:14">
      <c r="A228" s="87"/>
      <c r="B228" s="88"/>
      <c r="C228" s="65" t="s">
        <v>129</v>
      </c>
      <c r="D228" s="65" t="s">
        <v>130</v>
      </c>
      <c r="E228" s="65" t="s">
        <v>131</v>
      </c>
      <c r="F228" s="88"/>
      <c r="G228" s="88"/>
      <c r="H228" s="89"/>
      <c r="I228" s="66" t="s">
        <v>4</v>
      </c>
      <c r="J228" s="66" t="s">
        <v>5</v>
      </c>
      <c r="K228" s="66" t="s">
        <v>6</v>
      </c>
      <c r="L228" s="66" t="s">
        <v>3</v>
      </c>
      <c r="M228" s="66" t="s">
        <v>7</v>
      </c>
      <c r="N228" s="68" t="s">
        <v>30</v>
      </c>
    </row>
    <row r="229" ht="24" customHeight="1" spans="1:14">
      <c r="A229" s="71" t="s">
        <v>132</v>
      </c>
      <c r="B229" s="65" t="s">
        <v>32</v>
      </c>
      <c r="C229" s="126" t="s">
        <v>96</v>
      </c>
      <c r="D229" s="126" t="s">
        <v>228</v>
      </c>
      <c r="E229" s="126" t="s">
        <v>228</v>
      </c>
      <c r="F229" s="126">
        <v>81</v>
      </c>
      <c r="G229" s="92">
        <f t="shared" ref="G229:G231" si="34">D229*E229*C229*7850/1000000000*F229</f>
        <v>1627.776</v>
      </c>
      <c r="H229" s="94"/>
      <c r="I229" s="66">
        <v>16</v>
      </c>
      <c r="J229" s="66">
        <v>2000</v>
      </c>
      <c r="K229" s="66">
        <v>6450</v>
      </c>
      <c r="L229" s="66">
        <v>1</v>
      </c>
      <c r="M229" s="67">
        <f>L229*K229*J229*I229*7.85/1000000</f>
        <v>1620.24</v>
      </c>
      <c r="N229" s="68" t="s">
        <v>232</v>
      </c>
    </row>
    <row r="230" ht="24" customHeight="1" spans="1:14">
      <c r="A230" s="71" t="s">
        <v>137</v>
      </c>
      <c r="B230" s="65" t="s">
        <v>32</v>
      </c>
      <c r="C230" s="126" t="s">
        <v>99</v>
      </c>
      <c r="D230" s="126" t="s">
        <v>277</v>
      </c>
      <c r="E230" s="126" t="s">
        <v>228</v>
      </c>
      <c r="F230" s="126">
        <f>F229</f>
        <v>81</v>
      </c>
      <c r="G230" s="92">
        <f t="shared" si="34"/>
        <v>543.27024</v>
      </c>
      <c r="H230" s="94"/>
      <c r="I230" s="66">
        <v>12</v>
      </c>
      <c r="J230" s="66">
        <v>2000</v>
      </c>
      <c r="K230" s="66">
        <v>12000</v>
      </c>
      <c r="L230" s="66">
        <v>1</v>
      </c>
      <c r="M230" s="67">
        <f>L230*K230*J230*I230*7.85/1000000</f>
        <v>2260.8</v>
      </c>
      <c r="N230" s="69" t="s">
        <v>234</v>
      </c>
    </row>
    <row r="231" ht="24" customHeight="1" spans="1:14">
      <c r="A231" s="71" t="s">
        <v>138</v>
      </c>
      <c r="B231" s="65" t="s">
        <v>32</v>
      </c>
      <c r="C231" s="126" t="s">
        <v>99</v>
      </c>
      <c r="D231" s="126" t="s">
        <v>278</v>
      </c>
      <c r="E231" s="126" t="s">
        <v>279</v>
      </c>
      <c r="F231" s="126">
        <f>F229*2</f>
        <v>162</v>
      </c>
      <c r="G231" s="92">
        <f t="shared" si="34"/>
        <v>1976.832216</v>
      </c>
      <c r="H231" s="94"/>
      <c r="I231" s="66"/>
      <c r="J231" s="66"/>
      <c r="K231" s="66"/>
      <c r="L231" s="66"/>
      <c r="M231" s="67"/>
      <c r="N231" s="68"/>
    </row>
  </sheetData>
  <autoFilter ref="A1:P231">
    <extLst/>
  </autoFilter>
  <mergeCells count="139">
    <mergeCell ref="I2:N2"/>
    <mergeCell ref="I14:N14"/>
    <mergeCell ref="I26:N26"/>
    <mergeCell ref="I38:N38"/>
    <mergeCell ref="A59:F59"/>
    <mergeCell ref="A60:F60"/>
    <mergeCell ref="A61:F61"/>
    <mergeCell ref="A62:F62"/>
    <mergeCell ref="A63:F63"/>
    <mergeCell ref="A64:F64"/>
    <mergeCell ref="A65:F65"/>
    <mergeCell ref="I80:N80"/>
    <mergeCell ref="I92:N92"/>
    <mergeCell ref="I104:N104"/>
    <mergeCell ref="I116:N116"/>
    <mergeCell ref="I128:N128"/>
    <mergeCell ref="I140:N140"/>
    <mergeCell ref="I152:N152"/>
    <mergeCell ref="I164:N164"/>
    <mergeCell ref="I176:N176"/>
    <mergeCell ref="I188:N188"/>
    <mergeCell ref="I200:N200"/>
    <mergeCell ref="I212:N212"/>
    <mergeCell ref="C227:E227"/>
    <mergeCell ref="I227:N227"/>
    <mergeCell ref="A2:A3"/>
    <mergeCell ref="A14:A15"/>
    <mergeCell ref="A26:A27"/>
    <mergeCell ref="A38:A39"/>
    <mergeCell ref="A50:A51"/>
    <mergeCell ref="A68:A69"/>
    <mergeCell ref="A80:A81"/>
    <mergeCell ref="A92:A93"/>
    <mergeCell ref="A104:A105"/>
    <mergeCell ref="A116:A117"/>
    <mergeCell ref="A128:A129"/>
    <mergeCell ref="A140:A141"/>
    <mergeCell ref="A152:A153"/>
    <mergeCell ref="A164:A165"/>
    <mergeCell ref="A176:A177"/>
    <mergeCell ref="A188:A189"/>
    <mergeCell ref="A200:A201"/>
    <mergeCell ref="A212:A213"/>
    <mergeCell ref="A227:A228"/>
    <mergeCell ref="B2:B3"/>
    <mergeCell ref="B14:B15"/>
    <mergeCell ref="B26:B27"/>
    <mergeCell ref="B38:B39"/>
    <mergeCell ref="B50:B51"/>
    <mergeCell ref="B68:B69"/>
    <mergeCell ref="B80:B81"/>
    <mergeCell ref="B92:B93"/>
    <mergeCell ref="B104:B105"/>
    <mergeCell ref="B116:B117"/>
    <mergeCell ref="B128:B129"/>
    <mergeCell ref="B140:B141"/>
    <mergeCell ref="B152:B153"/>
    <mergeCell ref="B164:B165"/>
    <mergeCell ref="B176:B177"/>
    <mergeCell ref="B188:B189"/>
    <mergeCell ref="B200:B201"/>
    <mergeCell ref="B212:B213"/>
    <mergeCell ref="B227:B228"/>
    <mergeCell ref="F2:F3"/>
    <mergeCell ref="F14:F15"/>
    <mergeCell ref="F26:F27"/>
    <mergeCell ref="F38:F39"/>
    <mergeCell ref="F50:F51"/>
    <mergeCell ref="F68:F69"/>
    <mergeCell ref="F80:F81"/>
    <mergeCell ref="F92:F93"/>
    <mergeCell ref="F104:F105"/>
    <mergeCell ref="F116:F117"/>
    <mergeCell ref="F128:F129"/>
    <mergeCell ref="F140:F141"/>
    <mergeCell ref="F152:F153"/>
    <mergeCell ref="F164:F165"/>
    <mergeCell ref="F176:F177"/>
    <mergeCell ref="F188:F189"/>
    <mergeCell ref="F200:F201"/>
    <mergeCell ref="F212:F213"/>
    <mergeCell ref="F227:F228"/>
    <mergeCell ref="G2:G3"/>
    <mergeCell ref="G14:G15"/>
    <mergeCell ref="G26:G27"/>
    <mergeCell ref="G38:G39"/>
    <mergeCell ref="G50:G51"/>
    <mergeCell ref="G68:G69"/>
    <mergeCell ref="G80:G81"/>
    <mergeCell ref="G92:G93"/>
    <mergeCell ref="G104:G105"/>
    <mergeCell ref="G116:G117"/>
    <mergeCell ref="G128:G129"/>
    <mergeCell ref="G140:G141"/>
    <mergeCell ref="G152:G153"/>
    <mergeCell ref="G164:G165"/>
    <mergeCell ref="G176:G177"/>
    <mergeCell ref="G188:G189"/>
    <mergeCell ref="G200:G201"/>
    <mergeCell ref="G212:G213"/>
    <mergeCell ref="G227:G228"/>
    <mergeCell ref="H2:H3"/>
    <mergeCell ref="H4:H11"/>
    <mergeCell ref="H14:H15"/>
    <mergeCell ref="H16:H23"/>
    <mergeCell ref="H26:H27"/>
    <mergeCell ref="H28:H35"/>
    <mergeCell ref="H38:H39"/>
    <mergeCell ref="H40:H47"/>
    <mergeCell ref="H50:H51"/>
    <mergeCell ref="H52:H65"/>
    <mergeCell ref="H68:H69"/>
    <mergeCell ref="H70:H77"/>
    <mergeCell ref="H80:H81"/>
    <mergeCell ref="H82:H89"/>
    <mergeCell ref="H92:H93"/>
    <mergeCell ref="H94:H101"/>
    <mergeCell ref="H104:H105"/>
    <mergeCell ref="H106:H113"/>
    <mergeCell ref="H116:H117"/>
    <mergeCell ref="H118:H125"/>
    <mergeCell ref="H128:H129"/>
    <mergeCell ref="H130:H137"/>
    <mergeCell ref="H140:H141"/>
    <mergeCell ref="H142:H149"/>
    <mergeCell ref="H152:H153"/>
    <mergeCell ref="H154:H161"/>
    <mergeCell ref="H164:H165"/>
    <mergeCell ref="H166:H173"/>
    <mergeCell ref="H176:H177"/>
    <mergeCell ref="H178:H185"/>
    <mergeCell ref="H188:H189"/>
    <mergeCell ref="H190:H197"/>
    <mergeCell ref="H200:H201"/>
    <mergeCell ref="H202:H209"/>
    <mergeCell ref="H212:H213"/>
    <mergeCell ref="H214:H221"/>
    <mergeCell ref="H227:H228"/>
    <mergeCell ref="H229:H231"/>
  </mergeCells>
  <pageMargins left="0.7" right="0.7" top="0.75" bottom="0.75" header="0.3" footer="0.3"/>
  <pageSetup paperSize="9" orientation="portrait" horizontalDpi="200" verticalDpi="300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3"/>
  <dimension ref="A1:Q52"/>
  <sheetViews>
    <sheetView workbookViewId="0">
      <selection activeCell="O148" sqref="O148"/>
    </sheetView>
  </sheetViews>
  <sheetFormatPr defaultColWidth="9" defaultRowHeight="13.5"/>
  <cols>
    <col min="1" max="3" width="12.625"/>
    <col min="4" max="4" width="13.75"/>
    <col min="5" max="5" width="12.625"/>
    <col min="6" max="7" width="13.75"/>
    <col min="8" max="8" width="10.375" customWidth="1"/>
    <col min="11" max="12" width="12.625"/>
    <col min="16" max="17" width="12.625"/>
  </cols>
  <sheetData>
    <row r="1" spans="1:7">
      <c r="A1" s="12" t="s">
        <v>229</v>
      </c>
      <c r="B1" t="s">
        <v>280</v>
      </c>
      <c r="C1">
        <f>[2]零件汇总!$Q$68</f>
        <v>28080</v>
      </c>
      <c r="D1">
        <f>[3]零件汇总!$Q$43</f>
        <v>11080</v>
      </c>
      <c r="E1">
        <f>[4]零件汇总!$Q$92</f>
        <v>137840</v>
      </c>
      <c r="F1">
        <f>SUM(C1:E1)</f>
        <v>177000</v>
      </c>
      <c r="G1" s="14">
        <f>F1*340*7.85*16/1000/1000</f>
        <v>7558.608</v>
      </c>
    </row>
    <row r="2" spans="1:7">
      <c r="A2" s="12"/>
      <c r="B2" t="s">
        <v>281</v>
      </c>
      <c r="C2">
        <f>[3]零件汇总!$Q$4</f>
        <v>63480</v>
      </c>
      <c r="F2">
        <f>SUM(C2:E2)</f>
        <v>63480</v>
      </c>
      <c r="G2" s="14">
        <f>F2*482*7.85*16/1000/1000</f>
        <v>3843.028416</v>
      </c>
    </row>
    <row r="3" spans="1:5">
      <c r="A3" s="49"/>
      <c r="B3" s="48"/>
      <c r="C3" s="48"/>
      <c r="D3" s="48" t="s">
        <v>280</v>
      </c>
      <c r="E3" s="48" t="s">
        <v>282</v>
      </c>
    </row>
    <row r="4" spans="1:11">
      <c r="A4" s="48">
        <v>1500</v>
      </c>
      <c r="B4" s="48">
        <f>482*3</f>
        <v>1446</v>
      </c>
      <c r="C4" s="48">
        <f>排版!Y13</f>
        <v>8010</v>
      </c>
      <c r="D4" s="48"/>
      <c r="E4" s="48">
        <f>C4*3</f>
        <v>24030</v>
      </c>
      <c r="F4">
        <f>482*3</f>
        <v>1446</v>
      </c>
      <c r="G4">
        <f>B4*16*7.85/1000/1000*C4</f>
        <v>1454.756976</v>
      </c>
      <c r="K4">
        <f>A4*C4*16*7.85/1000/1000</f>
        <v>1509.084</v>
      </c>
    </row>
    <row r="5" spans="1:11">
      <c r="A5" s="48">
        <v>1800</v>
      </c>
      <c r="B5" s="48">
        <f>340*5</f>
        <v>1700</v>
      </c>
      <c r="C5" s="48">
        <f>排版!Y101</f>
        <v>980083.6</v>
      </c>
      <c r="D5" s="48">
        <f>C5*5</f>
        <v>4900418</v>
      </c>
      <c r="E5" s="48"/>
      <c r="F5">
        <f>340*5</f>
        <v>1700</v>
      </c>
      <c r="G5">
        <f>B5*16*7.85/1000/1000*C5</f>
        <v>209267.450272</v>
      </c>
      <c r="K5">
        <f>A5*C5*16*7.85/1000/1000</f>
        <v>221577.300288</v>
      </c>
    </row>
    <row r="6" spans="1:11">
      <c r="A6" s="48">
        <v>2000</v>
      </c>
      <c r="B6" s="48">
        <f>340*3+482*2</f>
        <v>1984</v>
      </c>
      <c r="C6" s="48">
        <f>排版!Y119</f>
        <v>138870</v>
      </c>
      <c r="D6" s="48">
        <f>C6*3</f>
        <v>416610</v>
      </c>
      <c r="E6" s="75">
        <f>C6*2</f>
        <v>277740</v>
      </c>
      <c r="F6">
        <f>340*3+482*2</f>
        <v>1984</v>
      </c>
      <c r="G6">
        <f>B6*16*7.85/1000/1000*C6</f>
        <v>34605.070848</v>
      </c>
      <c r="K6">
        <f>A6*C6*16*7.85/1000/1000</f>
        <v>34884.144</v>
      </c>
    </row>
    <row r="7" spans="1:11">
      <c r="A7" s="48">
        <v>2000</v>
      </c>
      <c r="B7" s="48">
        <f>482*4</f>
        <v>1928</v>
      </c>
      <c r="C7" s="48">
        <f>排版!Y200</f>
        <v>595830</v>
      </c>
      <c r="D7" s="48"/>
      <c r="E7" s="75">
        <f>C7*4</f>
        <v>2383320</v>
      </c>
      <c r="F7">
        <f>482*4</f>
        <v>1928</v>
      </c>
      <c r="G7">
        <f>B7*16*7.85/1000/1000*C7</f>
        <v>144284.286144</v>
      </c>
      <c r="K7">
        <f>A7*C7*16*7.85/1000/1000</f>
        <v>149672.496</v>
      </c>
    </row>
    <row r="8" spans="2:12">
      <c r="B8" s="58">
        <f>排版!X201</f>
        <v>1722793.6</v>
      </c>
      <c r="C8">
        <f>SUM(C4:C7)</f>
        <v>1722793.6</v>
      </c>
      <c r="D8">
        <f>SUM(D4:D7)</f>
        <v>5317028</v>
      </c>
      <c r="E8">
        <f>SUM(E4:E7)</f>
        <v>2685090</v>
      </c>
      <c r="G8">
        <f>SUM(G4:G7)</f>
        <v>389611.56424</v>
      </c>
      <c r="H8">
        <f>排版!Z201</f>
        <v>407643.024288</v>
      </c>
      <c r="K8">
        <f>SUM(K4:K7)</f>
        <v>407643.024288</v>
      </c>
      <c r="L8" s="58">
        <f>排版!Z201</f>
        <v>407643.024288</v>
      </c>
    </row>
    <row r="9" spans="1:11">
      <c r="A9">
        <f>排版!Z201</f>
        <v>407643.024288</v>
      </c>
      <c r="D9">
        <f>D8+F1</f>
        <v>5494028</v>
      </c>
      <c r="E9" s="76">
        <f>E8+F2</f>
        <v>2748570</v>
      </c>
      <c r="G9">
        <f>G8+G2+G1</f>
        <v>401013.200656</v>
      </c>
      <c r="K9">
        <f>C31+F31</f>
        <v>400158.6700032</v>
      </c>
    </row>
    <row r="10" spans="1:11">
      <c r="A10">
        <f>16*340*D8*7.85/1000/1000</f>
        <v>227058.363712</v>
      </c>
      <c r="D10" s="77">
        <f>D9-B31</f>
        <v>8366.00000000093</v>
      </c>
      <c r="E10" s="78">
        <f>E9-E31</f>
        <v>8214</v>
      </c>
      <c r="K10">
        <f>K8-K9</f>
        <v>7484.35428480007</v>
      </c>
    </row>
    <row r="11" spans="1:5">
      <c r="A11">
        <f>16*482*E8*7.85/1000/1000</f>
        <v>162553.200528</v>
      </c>
      <c r="E11" s="76"/>
    </row>
    <row r="12" spans="1:7">
      <c r="A12">
        <f>A9-A10-A11</f>
        <v>18031.460048</v>
      </c>
      <c r="G12" t="s">
        <v>283</v>
      </c>
    </row>
    <row r="13" spans="1:5">
      <c r="A13">
        <f>A12/A9</f>
        <v>0.0442334566609946</v>
      </c>
      <c r="B13" t="s">
        <v>14</v>
      </c>
      <c r="E13" t="s">
        <v>19</v>
      </c>
    </row>
    <row r="14" spans="1:6">
      <c r="A14" s="12" t="s">
        <v>284</v>
      </c>
      <c r="B14">
        <v>101912</v>
      </c>
      <c r="C14" s="14">
        <f>B14*340*7.85/1000/1000*16</f>
        <v>4352.050048</v>
      </c>
      <c r="D14" s="12" t="s">
        <v>284</v>
      </c>
      <c r="E14">
        <v>50956</v>
      </c>
      <c r="F14" s="14">
        <f>E14*482*7.85/1000/1000*16</f>
        <v>3084.8354752</v>
      </c>
    </row>
    <row r="15" spans="1:6">
      <c r="A15" s="79">
        <v>1</v>
      </c>
      <c r="B15">
        <v>332000</v>
      </c>
      <c r="C15" s="14">
        <f t="shared" ref="C15:C30" si="0">B15*340*7.85/1000/1000*16</f>
        <v>14177.728</v>
      </c>
      <c r="D15" s="79">
        <v>1</v>
      </c>
      <c r="E15">
        <v>166000</v>
      </c>
      <c r="F15" s="14">
        <f t="shared" ref="F15:F30" si="1">E15*482*7.85/1000/1000*16</f>
        <v>10049.5072</v>
      </c>
    </row>
    <row r="16" spans="1:6">
      <c r="A16" s="79">
        <v>2</v>
      </c>
      <c r="B16">
        <v>330000</v>
      </c>
      <c r="C16" s="14">
        <f t="shared" si="0"/>
        <v>14092.32</v>
      </c>
      <c r="D16" s="79">
        <v>2</v>
      </c>
      <c r="E16">
        <v>165000</v>
      </c>
      <c r="F16" s="14">
        <f t="shared" si="1"/>
        <v>9988.968</v>
      </c>
    </row>
    <row r="17" spans="1:6">
      <c r="A17" s="79">
        <v>3</v>
      </c>
      <c r="B17">
        <v>277500</v>
      </c>
      <c r="C17" s="14">
        <f t="shared" si="0"/>
        <v>11850.36</v>
      </c>
      <c r="D17" s="79">
        <v>3</v>
      </c>
      <c r="E17">
        <v>139200</v>
      </c>
      <c r="F17" s="14">
        <f t="shared" si="1"/>
        <v>8427.05664</v>
      </c>
    </row>
    <row r="18" spans="1:6">
      <c r="A18" s="79">
        <v>4</v>
      </c>
      <c r="B18">
        <v>380000</v>
      </c>
      <c r="C18" s="14">
        <f t="shared" si="0"/>
        <v>16227.52</v>
      </c>
      <c r="D18" s="79">
        <v>4</v>
      </c>
      <c r="E18">
        <v>190000</v>
      </c>
      <c r="F18" s="14">
        <f t="shared" si="1"/>
        <v>11502.448</v>
      </c>
    </row>
    <row r="19" spans="1:6">
      <c r="A19" s="79">
        <v>7</v>
      </c>
      <c r="B19">
        <v>348000</v>
      </c>
      <c r="C19" s="14">
        <f t="shared" si="0"/>
        <v>14860.992</v>
      </c>
      <c r="D19" s="79">
        <v>7</v>
      </c>
      <c r="E19">
        <v>174000</v>
      </c>
      <c r="F19" s="14">
        <f t="shared" si="1"/>
        <v>10533.8208</v>
      </c>
    </row>
    <row r="20" spans="1:6">
      <c r="A20" s="79">
        <v>8</v>
      </c>
      <c r="B20">
        <v>394000</v>
      </c>
      <c r="C20" s="14">
        <f t="shared" si="0"/>
        <v>16825.376</v>
      </c>
      <c r="D20" s="79">
        <v>8</v>
      </c>
      <c r="E20">
        <v>197000</v>
      </c>
      <c r="F20" s="14">
        <f t="shared" si="1"/>
        <v>11926.2224</v>
      </c>
    </row>
    <row r="21" spans="1:6">
      <c r="A21" s="79">
        <v>9</v>
      </c>
      <c r="B21">
        <v>362000</v>
      </c>
      <c r="C21" s="14">
        <f t="shared" si="0"/>
        <v>15458.848</v>
      </c>
      <c r="D21" s="79">
        <v>9</v>
      </c>
      <c r="E21">
        <v>181000</v>
      </c>
      <c r="F21" s="14">
        <f t="shared" si="1"/>
        <v>10957.5952</v>
      </c>
    </row>
    <row r="22" spans="1:6">
      <c r="A22" s="79">
        <v>10</v>
      </c>
      <c r="B22">
        <v>394000</v>
      </c>
      <c r="C22" s="14">
        <f t="shared" si="0"/>
        <v>16825.376</v>
      </c>
      <c r="D22" s="79">
        <v>10</v>
      </c>
      <c r="E22">
        <v>197000</v>
      </c>
      <c r="F22" s="14">
        <f t="shared" si="1"/>
        <v>11926.2224</v>
      </c>
    </row>
    <row r="23" spans="1:6">
      <c r="A23" s="79">
        <v>11</v>
      </c>
      <c r="B23">
        <v>362000</v>
      </c>
      <c r="C23" s="14">
        <f t="shared" si="0"/>
        <v>15458.848</v>
      </c>
      <c r="D23" s="79">
        <v>11</v>
      </c>
      <c r="E23">
        <v>181000</v>
      </c>
      <c r="F23" s="14">
        <f t="shared" si="1"/>
        <v>10957.5952</v>
      </c>
    </row>
    <row r="24" spans="1:6">
      <c r="A24" s="79">
        <v>12</v>
      </c>
      <c r="B24">
        <v>330000</v>
      </c>
      <c r="C24" s="14">
        <f t="shared" si="0"/>
        <v>14092.32</v>
      </c>
      <c r="D24" s="79">
        <v>12</v>
      </c>
      <c r="E24">
        <v>165000</v>
      </c>
      <c r="F24" s="14">
        <f t="shared" si="1"/>
        <v>9988.968</v>
      </c>
    </row>
    <row r="25" spans="1:6">
      <c r="A25" s="79">
        <v>13</v>
      </c>
      <c r="B25">
        <v>255000</v>
      </c>
      <c r="C25" s="14">
        <f t="shared" si="0"/>
        <v>10889.52</v>
      </c>
      <c r="D25" s="79">
        <v>13</v>
      </c>
      <c r="E25">
        <v>127200</v>
      </c>
      <c r="F25" s="14">
        <f t="shared" si="1"/>
        <v>7700.58624</v>
      </c>
    </row>
    <row r="26" spans="1:6">
      <c r="A26" s="79">
        <v>14</v>
      </c>
      <c r="B26">
        <v>267000</v>
      </c>
      <c r="C26" s="14">
        <f t="shared" si="0"/>
        <v>11401.968</v>
      </c>
      <c r="D26" s="79">
        <v>14</v>
      </c>
      <c r="E26">
        <v>132800</v>
      </c>
      <c r="F26" s="14">
        <f t="shared" si="1"/>
        <v>8039.60576</v>
      </c>
    </row>
    <row r="27" ht="14.25" spans="1:9">
      <c r="A27" s="79">
        <v>15</v>
      </c>
      <c r="B27">
        <v>233750</v>
      </c>
      <c r="C27" s="14">
        <f t="shared" si="0"/>
        <v>9982.06</v>
      </c>
      <c r="D27" s="79">
        <v>15</v>
      </c>
      <c r="E27">
        <v>116400</v>
      </c>
      <c r="F27" s="14">
        <f t="shared" si="1"/>
        <v>7046.76288</v>
      </c>
      <c r="I27" s="80"/>
    </row>
    <row r="28" ht="14.25" spans="1:9">
      <c r="A28" s="79">
        <v>16</v>
      </c>
      <c r="B28">
        <v>394000</v>
      </c>
      <c r="C28" s="14">
        <f t="shared" si="0"/>
        <v>16825.376</v>
      </c>
      <c r="D28" s="79">
        <v>16</v>
      </c>
      <c r="E28">
        <v>197000</v>
      </c>
      <c r="F28" s="14">
        <f t="shared" si="1"/>
        <v>11926.2224</v>
      </c>
      <c r="I28" s="80"/>
    </row>
    <row r="29" ht="14.25" spans="1:9">
      <c r="A29" s="79">
        <v>17</v>
      </c>
      <c r="B29">
        <v>267000</v>
      </c>
      <c r="C29" s="14">
        <f t="shared" si="0"/>
        <v>11401.968</v>
      </c>
      <c r="D29" s="79">
        <v>17</v>
      </c>
      <c r="E29">
        <v>132800</v>
      </c>
      <c r="F29" s="14">
        <f t="shared" si="1"/>
        <v>8039.60576</v>
      </c>
      <c r="I29" s="80"/>
    </row>
    <row r="30" ht="14.25" spans="1:9">
      <c r="A30" s="79">
        <v>18</v>
      </c>
      <c r="B30">
        <v>457500</v>
      </c>
      <c r="C30" s="14">
        <f t="shared" si="0"/>
        <v>19537.08</v>
      </c>
      <c r="D30" s="79">
        <v>18</v>
      </c>
      <c r="E30">
        <v>228000</v>
      </c>
      <c r="F30" s="14">
        <f t="shared" si="1"/>
        <v>13802.9376</v>
      </c>
      <c r="I30" s="80"/>
    </row>
    <row r="31" ht="14.25" spans="2:9">
      <c r="B31">
        <f>SUM(B14:B30)</f>
        <v>5485662</v>
      </c>
      <c r="C31">
        <f>SUM(C14:C30)</f>
        <v>234259.710048</v>
      </c>
      <c r="E31">
        <f>SUM(E14:E30)</f>
        <v>2740356</v>
      </c>
      <c r="F31">
        <f>SUM(F14:F30)</f>
        <v>165898.9599552</v>
      </c>
      <c r="H31" s="80"/>
      <c r="I31" s="80"/>
    </row>
    <row r="32" spans="3:3">
      <c r="C32">
        <f>[6]D桥估料表!$G$6+[6]D桥估料表!$G$18+[6]D桥估料表!$G$30+[6]D桥估料表!$G$42+[6]D桥估料表!$G$72+[6]D桥估料表!$G$84+[6]D桥估料表!$G$96+[6]D桥估料表!$G$108+[6]D桥估料表!$G$120+[6]D桥估料表!$G$132+[6]D桥估料表!$G$144+[6]D桥估料表!$G$156+[6]D桥估料表!$G$168+[6]D桥估料表!$G$180+[6]D桥估料表!$G$192+[6]D桥估料表!$G$204+[6]D桥估料表!$G$216-[6]D桥估料表!$G$72</f>
        <v>228917.695872</v>
      </c>
    </row>
    <row r="33" spans="3:3">
      <c r="C33">
        <f>[6]D桥估料表!$G$6+[6]D桥估料表!$G$18+[6]D桥估料表!$G$30+[6]D桥估料表!$G$42+[6]D桥估料表!$G$84+[6]D桥估料表!$G$96+[6]D桥估料表!$G$108+[6]D桥估料表!$G$120+[6]D桥估料表!$G$132+[6]D桥估料表!$G$144+[6]D桥估料表!$G$156+[6]D桥估料表!$G$168+[6]D桥估料表!$G$180+[6]D桥估料表!$G$192+[6]D桥估料表!$G$204+[6]D桥估料表!$G$216</f>
        <v>228917.695872</v>
      </c>
    </row>
    <row r="41" ht="16.5" hidden="1" spans="1:8">
      <c r="A41" s="5"/>
      <c r="B41" s="6"/>
      <c r="C41" s="6"/>
      <c r="D41" s="49"/>
      <c r="E41" s="6"/>
      <c r="F41" s="8"/>
      <c r="G41" s="5"/>
      <c r="H41" s="9"/>
    </row>
    <row r="42" ht="16.5" hidden="1" spans="1:8">
      <c r="A42" s="5"/>
      <c r="B42" s="6"/>
      <c r="C42" s="6"/>
      <c r="D42" s="49"/>
      <c r="E42" s="6"/>
      <c r="F42" s="8"/>
      <c r="G42" s="5"/>
      <c r="H42" s="9"/>
    </row>
    <row r="43" ht="16.5" hidden="1" spans="1:8">
      <c r="A43" s="5"/>
      <c r="B43" s="6"/>
      <c r="C43" s="6"/>
      <c r="D43" s="49"/>
      <c r="E43" s="6"/>
      <c r="F43" s="8"/>
      <c r="G43" s="5"/>
      <c r="H43" s="9"/>
    </row>
    <row r="44" ht="16.5" hidden="1" spans="1:8">
      <c r="A44" s="5"/>
      <c r="B44" s="6"/>
      <c r="C44" s="6"/>
      <c r="D44" s="49"/>
      <c r="E44" s="6"/>
      <c r="F44" s="8"/>
      <c r="G44" s="5"/>
      <c r="H44" s="9"/>
    </row>
    <row r="45" ht="16.5" hidden="1" spans="1:8">
      <c r="A45" s="5"/>
      <c r="B45" s="6"/>
      <c r="C45" s="6"/>
      <c r="D45" s="49"/>
      <c r="E45" s="6"/>
      <c r="F45" s="8"/>
      <c r="G45" s="5"/>
      <c r="H45" s="9"/>
    </row>
    <row r="46" ht="16.5" hidden="1" spans="1:15">
      <c r="A46" s="5"/>
      <c r="B46" s="6"/>
      <c r="C46" s="6"/>
      <c r="D46" s="49"/>
      <c r="E46" s="6"/>
      <c r="F46" s="8"/>
      <c r="G46" s="5"/>
      <c r="H46" s="9"/>
      <c r="J46" s="58"/>
      <c r="L46" s="33"/>
      <c r="M46" s="33"/>
      <c r="N46" s="33"/>
      <c r="O46" s="33"/>
    </row>
    <row r="47" ht="16.5" hidden="1" spans="1:8">
      <c r="A47" s="5"/>
      <c r="B47" s="6"/>
      <c r="C47" s="6"/>
      <c r="D47" s="20"/>
      <c r="E47" s="6"/>
      <c r="F47" s="8"/>
      <c r="G47" s="5"/>
      <c r="H47" s="9"/>
    </row>
    <row r="48" ht="16.5" hidden="1" spans="1:8">
      <c r="A48" s="5"/>
      <c r="B48" s="6"/>
      <c r="C48" s="6"/>
      <c r="D48" s="49"/>
      <c r="E48" s="6"/>
      <c r="F48" s="8"/>
      <c r="G48" s="5"/>
      <c r="H48" s="9"/>
    </row>
    <row r="49" ht="16.5" hidden="1" spans="1:8">
      <c r="A49" s="5"/>
      <c r="B49" s="6"/>
      <c r="C49" s="6"/>
      <c r="D49" s="49"/>
      <c r="E49" s="6"/>
      <c r="F49" s="8"/>
      <c r="G49" s="5"/>
      <c r="H49" s="9"/>
    </row>
    <row r="50" hidden="1"/>
    <row r="51" hidden="1" spans="16:17">
      <c r="P51" s="76"/>
      <c r="Q51" s="81"/>
    </row>
    <row r="52" hidden="1"/>
  </sheetData>
  <mergeCells count="1">
    <mergeCell ref="A1:A2"/>
  </mergeCells>
  <pageMargins left="0.75" right="0.75" top="1" bottom="1" header="0.5" footer="0.5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4"/>
  <dimension ref="A1:J18"/>
  <sheetViews>
    <sheetView workbookViewId="0">
      <selection activeCell="S15" sqref="S15:S16"/>
    </sheetView>
  </sheetViews>
  <sheetFormatPr defaultColWidth="9" defaultRowHeight="13.5"/>
  <cols>
    <col min="7" max="7" width="9.375"/>
    <col min="9" max="10" width="12.625"/>
  </cols>
  <sheetData>
    <row r="1" spans="1:8">
      <c r="A1" s="70" t="s">
        <v>0</v>
      </c>
      <c r="B1" s="70" t="s">
        <v>24</v>
      </c>
      <c r="C1" s="70" t="s">
        <v>1</v>
      </c>
      <c r="D1" s="70"/>
      <c r="E1" s="70"/>
      <c r="F1" s="70" t="s">
        <v>2</v>
      </c>
      <c r="G1" s="70" t="s">
        <v>3</v>
      </c>
      <c r="H1" s="70" t="s">
        <v>30</v>
      </c>
    </row>
    <row r="2" ht="27" spans="1:8">
      <c r="A2" s="70"/>
      <c r="B2" s="70"/>
      <c r="C2" s="70" t="s">
        <v>8</v>
      </c>
      <c r="D2" s="70" t="s">
        <v>9</v>
      </c>
      <c r="E2" s="70" t="s">
        <v>10</v>
      </c>
      <c r="F2" s="70"/>
      <c r="G2" s="70"/>
      <c r="H2" s="70"/>
    </row>
    <row r="3" spans="1:8">
      <c r="A3" s="70" t="s">
        <v>11</v>
      </c>
      <c r="B3" s="70" t="s">
        <v>32</v>
      </c>
      <c r="C3" s="70">
        <v>16</v>
      </c>
      <c r="D3" s="70">
        <v>4500</v>
      </c>
      <c r="E3" s="70">
        <v>25478</v>
      </c>
      <c r="F3" s="70">
        <v>1</v>
      </c>
      <c r="G3" s="70">
        <v>14400.17</v>
      </c>
      <c r="H3" s="70" t="s">
        <v>148</v>
      </c>
    </row>
    <row r="4" spans="1:8">
      <c r="A4" s="71" t="s">
        <v>231</v>
      </c>
      <c r="B4" s="69" t="s">
        <v>32</v>
      </c>
      <c r="C4" s="72">
        <v>16</v>
      </c>
      <c r="D4" s="72">
        <v>568</v>
      </c>
      <c r="E4" s="72">
        <f>E3</f>
        <v>25478</v>
      </c>
      <c r="F4" s="72">
        <v>4</v>
      </c>
      <c r="G4" s="73">
        <f>E4*D4*C4*7850/1000000000*F4</f>
        <v>7270.4836096</v>
      </c>
      <c r="H4" s="70"/>
    </row>
    <row r="5" spans="1:8">
      <c r="A5" s="71" t="s">
        <v>232</v>
      </c>
      <c r="B5" s="69" t="s">
        <v>32</v>
      </c>
      <c r="C5" s="72">
        <v>16</v>
      </c>
      <c r="D5" s="72">
        <v>340</v>
      </c>
      <c r="E5" s="72">
        <f>E3</f>
        <v>25478</v>
      </c>
      <c r="F5" s="72">
        <v>4</v>
      </c>
      <c r="G5" s="73">
        <f>E5*D5*C5*7850/1000000000*F5</f>
        <v>4352.050048</v>
      </c>
      <c r="H5" s="70"/>
    </row>
    <row r="6" ht="27" spans="1:9">
      <c r="A6" s="74" t="s">
        <v>12</v>
      </c>
      <c r="B6" s="74" t="s">
        <v>32</v>
      </c>
      <c r="C6" s="74" t="s">
        <v>13</v>
      </c>
      <c r="D6" s="74"/>
      <c r="E6" s="74">
        <v>25478</v>
      </c>
      <c r="F6" s="74">
        <v>2</v>
      </c>
      <c r="G6" s="74">
        <v>12032.14</v>
      </c>
      <c r="H6" s="70"/>
      <c r="I6">
        <f>E6*4</f>
        <v>101912</v>
      </c>
    </row>
    <row r="7" spans="1:8">
      <c r="A7" s="70" t="s">
        <v>15</v>
      </c>
      <c r="B7" s="70" t="s">
        <v>32</v>
      </c>
      <c r="C7" s="70">
        <v>12</v>
      </c>
      <c r="D7" s="70">
        <v>308</v>
      </c>
      <c r="E7" s="70">
        <v>568</v>
      </c>
      <c r="F7" s="70">
        <v>28</v>
      </c>
      <c r="G7" s="70">
        <v>461.43</v>
      </c>
      <c r="H7" s="70"/>
    </row>
    <row r="8" spans="1:8">
      <c r="A8" s="70" t="s">
        <v>16</v>
      </c>
      <c r="B8" s="70" t="s">
        <v>32</v>
      </c>
      <c r="C8" s="70">
        <v>12</v>
      </c>
      <c r="D8" s="70">
        <v>324</v>
      </c>
      <c r="E8" s="70">
        <v>2500</v>
      </c>
      <c r="F8" s="70">
        <v>14</v>
      </c>
      <c r="G8" s="70">
        <v>1068.23</v>
      </c>
      <c r="H8" s="70"/>
    </row>
    <row r="9" spans="1:8">
      <c r="A9" s="70" t="s">
        <v>17</v>
      </c>
      <c r="B9" s="70" t="s">
        <v>32</v>
      </c>
      <c r="C9" s="70">
        <v>12</v>
      </c>
      <c r="D9" s="70">
        <v>324</v>
      </c>
      <c r="E9" s="70">
        <v>400</v>
      </c>
      <c r="F9" s="70">
        <v>28</v>
      </c>
      <c r="G9" s="70">
        <v>341.83</v>
      </c>
      <c r="H9" s="70"/>
    </row>
    <row r="10" spans="1:8">
      <c r="A10" s="70" t="s">
        <v>18</v>
      </c>
      <c r="B10" s="70" t="s">
        <v>32</v>
      </c>
      <c r="C10" s="70">
        <v>16</v>
      </c>
      <c r="D10" s="70">
        <v>2500</v>
      </c>
      <c r="E10" s="70">
        <v>25478</v>
      </c>
      <c r="F10" s="70">
        <v>1</v>
      </c>
      <c r="G10" s="70">
        <v>8000.09</v>
      </c>
      <c r="H10" s="70"/>
    </row>
    <row r="11" spans="1:10">
      <c r="A11" s="70" t="s">
        <v>19</v>
      </c>
      <c r="B11" s="70" t="s">
        <v>32</v>
      </c>
      <c r="C11" s="70">
        <v>16</v>
      </c>
      <c r="D11" s="70">
        <v>482</v>
      </c>
      <c r="E11" s="70">
        <v>25478</v>
      </c>
      <c r="F11" s="70">
        <v>2</v>
      </c>
      <c r="G11" s="70">
        <v>3084.84</v>
      </c>
      <c r="H11" s="70"/>
      <c r="I11">
        <f>E11*2</f>
        <v>50956</v>
      </c>
      <c r="J11">
        <f>G3+G4+G10</f>
        <v>29670.7436096</v>
      </c>
    </row>
    <row r="12" spans="1:8">
      <c r="A12" s="70" t="s">
        <v>114</v>
      </c>
      <c r="B12" s="70"/>
      <c r="C12" s="70"/>
      <c r="D12" s="70"/>
      <c r="E12" s="70"/>
      <c r="F12" s="70"/>
      <c r="G12" s="70">
        <v>0.59</v>
      </c>
      <c r="H12" s="70"/>
    </row>
    <row r="13" spans="1:9">
      <c r="A13" s="70" t="s">
        <v>115</v>
      </c>
      <c r="B13" s="70"/>
      <c r="C13" s="70"/>
      <c r="D13" s="70"/>
      <c r="E13" s="70"/>
      <c r="F13" s="70"/>
      <c r="G13" s="70">
        <v>39.39</v>
      </c>
      <c r="H13" s="70"/>
      <c r="I13">
        <f>SUM(G3:G11)</f>
        <v>51011.2636576</v>
      </c>
    </row>
    <row r="14" spans="1:8">
      <c r="A14" s="70" t="s">
        <v>116</v>
      </c>
      <c r="B14" s="70"/>
      <c r="C14" s="70"/>
      <c r="D14" s="70"/>
      <c r="E14" s="70"/>
      <c r="F14" s="70"/>
      <c r="G14" s="70">
        <v>0.6</v>
      </c>
      <c r="H14" s="70"/>
    </row>
    <row r="15" spans="1:8">
      <c r="A15" s="70" t="s">
        <v>117</v>
      </c>
      <c r="B15" s="70"/>
      <c r="C15" s="70"/>
      <c r="D15" s="70"/>
      <c r="E15" s="70"/>
      <c r="F15" s="70"/>
      <c r="G15" s="70">
        <v>114.65</v>
      </c>
      <c r="H15" s="70"/>
    </row>
    <row r="16" spans="1:8">
      <c r="A16" s="70" t="s">
        <v>118</v>
      </c>
      <c r="B16" s="70"/>
      <c r="C16" s="70"/>
      <c r="D16" s="70"/>
      <c r="E16" s="70"/>
      <c r="F16" s="70"/>
      <c r="G16" s="70">
        <v>6.88</v>
      </c>
      <c r="H16" s="70"/>
    </row>
    <row r="17" spans="1:8">
      <c r="A17" s="70" t="s">
        <v>119</v>
      </c>
      <c r="B17" s="70"/>
      <c r="C17" s="70"/>
      <c r="D17" s="70"/>
      <c r="E17" s="70"/>
      <c r="F17" s="70"/>
      <c r="G17" s="70">
        <v>114.65</v>
      </c>
      <c r="H17" s="70"/>
    </row>
    <row r="18" spans="1:8">
      <c r="A18" s="70" t="s">
        <v>120</v>
      </c>
      <c r="B18" s="70"/>
      <c r="C18" s="70"/>
      <c r="D18" s="70"/>
      <c r="E18" s="70"/>
      <c r="F18" s="70"/>
      <c r="G18" s="70">
        <v>6.88</v>
      </c>
      <c r="H18" s="70"/>
    </row>
  </sheetData>
  <autoFilter ref="A1:D18">
    <sortState ref="A1:D18">
      <sortCondition ref="B1"/>
    </sortState>
    <extLst/>
  </autoFilter>
  <mergeCells count="13">
    <mergeCell ref="A12:F12"/>
    <mergeCell ref="A13:F13"/>
    <mergeCell ref="A14:F14"/>
    <mergeCell ref="A15:F15"/>
    <mergeCell ref="A16:F16"/>
    <mergeCell ref="A17:F17"/>
    <mergeCell ref="A18:F18"/>
    <mergeCell ref="A1:A2"/>
    <mergeCell ref="B1:B2"/>
    <mergeCell ref="F1:F2"/>
    <mergeCell ref="G1:G2"/>
    <mergeCell ref="H1:H2"/>
    <mergeCell ref="H3:H18"/>
  </mergeCells>
  <pageMargins left="0.75" right="0.75" top="1" bottom="1" header="0.5" footer="0.5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6"/>
  <dimension ref="A1:J9"/>
  <sheetViews>
    <sheetView workbookViewId="0">
      <selection activeCell="C6" sqref="C6:J9"/>
    </sheetView>
  </sheetViews>
  <sheetFormatPr defaultColWidth="9" defaultRowHeight="13.5"/>
  <sheetData>
    <row r="1" ht="22.5" spans="1:10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</row>
    <row r="2" ht="22.5" spans="1:10">
      <c r="A2" s="15" t="s">
        <v>20</v>
      </c>
      <c r="B2" s="15"/>
      <c r="C2" s="15"/>
      <c r="D2" s="15"/>
      <c r="E2" s="15"/>
      <c r="F2" s="15"/>
      <c r="G2" s="15"/>
      <c r="H2" s="15"/>
      <c r="I2" s="15"/>
      <c r="J2" s="15"/>
    </row>
    <row r="3" ht="16.5" spans="1:10">
      <c r="A3" s="16" t="s">
        <v>21</v>
      </c>
      <c r="B3" s="17"/>
      <c r="C3" s="17"/>
      <c r="D3" s="17"/>
      <c r="E3" s="17"/>
      <c r="F3" s="17"/>
      <c r="G3" s="17"/>
      <c r="H3" s="17"/>
      <c r="I3" s="44"/>
      <c r="J3" s="26"/>
    </row>
    <row r="4" ht="16.5" spans="1:10">
      <c r="A4" s="18" t="s">
        <v>285</v>
      </c>
      <c r="B4" s="19"/>
      <c r="C4" s="19"/>
      <c r="D4" s="17"/>
      <c r="E4" s="19"/>
      <c r="F4" s="19"/>
      <c r="G4" s="17"/>
      <c r="H4" s="17"/>
      <c r="I4" s="45"/>
      <c r="J4" s="26"/>
    </row>
    <row r="5" ht="15" spans="1:10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4" t="s">
        <v>29</v>
      </c>
      <c r="J5" s="11" t="s">
        <v>30</v>
      </c>
    </row>
    <row r="6" spans="3:10">
      <c r="C6" s="65" t="s">
        <v>32</v>
      </c>
      <c r="D6" s="66">
        <v>12</v>
      </c>
      <c r="E6" s="66">
        <v>1500</v>
      </c>
      <c r="F6" s="66">
        <v>8560</v>
      </c>
      <c r="H6" s="66">
        <v>1</v>
      </c>
      <c r="I6" s="67">
        <f>H6*F6*E6*D6*7.85/1000000</f>
        <v>1209.528</v>
      </c>
      <c r="J6" s="68" t="s">
        <v>17</v>
      </c>
    </row>
    <row r="7" spans="3:10">
      <c r="C7" s="65" t="s">
        <v>32</v>
      </c>
      <c r="D7" s="66">
        <v>12</v>
      </c>
      <c r="E7" s="66">
        <v>1500</v>
      </c>
      <c r="F7" s="66">
        <v>10270</v>
      </c>
      <c r="H7" s="66">
        <v>1</v>
      </c>
      <c r="I7" s="67">
        <f>H7*F7*E7*D7*7.85/1000000</f>
        <v>1451.151</v>
      </c>
      <c r="J7" s="69" t="s">
        <v>234</v>
      </c>
    </row>
    <row r="8" spans="3:10">
      <c r="C8" s="65" t="s">
        <v>32</v>
      </c>
      <c r="D8" s="66">
        <v>12</v>
      </c>
      <c r="E8" s="66">
        <v>1960</v>
      </c>
      <c r="F8" s="66">
        <v>7520</v>
      </c>
      <c r="H8" s="66">
        <v>1</v>
      </c>
      <c r="I8" s="67">
        <f>H8*F8*E8*D8*7.85/1000000</f>
        <v>1388.43264</v>
      </c>
      <c r="J8" s="68" t="s">
        <v>16</v>
      </c>
    </row>
    <row r="9" spans="3:10">
      <c r="C9" s="65" t="s">
        <v>32</v>
      </c>
      <c r="D9" s="66">
        <v>12</v>
      </c>
      <c r="E9" s="66">
        <v>1960</v>
      </c>
      <c r="F9" s="66">
        <v>10020</v>
      </c>
      <c r="H9" s="66">
        <v>1</v>
      </c>
      <c r="I9" s="67">
        <f>H9*F9*E9*D9*7.85/1000000</f>
        <v>1850.01264</v>
      </c>
      <c r="J9" s="68" t="s">
        <v>16</v>
      </c>
    </row>
  </sheetData>
  <autoFilter ref="A5:J9">
    <sortState ref="A5:J9">
      <sortCondition ref="E5"/>
    </sortState>
    <extLst/>
  </autoFilter>
  <mergeCells count="3">
    <mergeCell ref="A1:J1"/>
    <mergeCell ref="A2:J2"/>
    <mergeCell ref="A3:F3"/>
  </mergeCells>
  <pageMargins left="0.75" right="0.75" top="1" bottom="1" header="0.5" footer="0.5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 codeName="Sheet20"/>
  <dimension ref="A1:AD202"/>
  <sheetViews>
    <sheetView topLeftCell="D1" workbookViewId="0">
      <selection activeCell="O148" sqref="O148"/>
    </sheetView>
  </sheetViews>
  <sheetFormatPr defaultColWidth="9" defaultRowHeight="13.5"/>
  <cols>
    <col min="1" max="3" width="9" hidden="1" customWidth="1"/>
    <col min="7" max="7" width="9" hidden="1" customWidth="1"/>
    <col min="8" max="8" width="5.625" customWidth="1"/>
    <col min="9" max="10" width="12.625"/>
    <col min="11" max="12" width="9" hidden="1" customWidth="1"/>
    <col min="13" max="13" width="12.625" style="12" hidden="1" customWidth="1"/>
    <col min="14" max="14" width="8" customWidth="1"/>
    <col min="15" max="15" width="11.5" customWidth="1"/>
    <col min="16" max="16" width="2.375" customWidth="1"/>
    <col min="17" max="17" width="10.375" customWidth="1"/>
    <col min="18" max="18" width="2.375" customWidth="1"/>
    <col min="19" max="19" width="10.375" customWidth="1"/>
    <col min="20" max="20" width="2.375" customWidth="1"/>
    <col min="21" max="21" width="12.625" customWidth="1"/>
    <col min="22" max="22" width="3.375" customWidth="1"/>
    <col min="23" max="23" width="12.625" customWidth="1"/>
    <col min="24" max="24" width="10.375" style="53" customWidth="1"/>
    <col min="25" max="25" width="10.375" customWidth="1"/>
    <col min="26" max="26" width="12.625" customWidth="1"/>
    <col min="27" max="27" width="13.75" customWidth="1"/>
  </cols>
  <sheetData>
    <row r="1" ht="15" spans="1:24">
      <c r="A1" s="1" t="s">
        <v>23</v>
      </c>
      <c r="B1" s="1" t="s">
        <v>0</v>
      </c>
      <c r="C1" s="2" t="s">
        <v>24</v>
      </c>
      <c r="D1" s="2" t="s">
        <v>25</v>
      </c>
      <c r="E1" s="2" t="s">
        <v>26</v>
      </c>
      <c r="F1" s="2" t="s">
        <v>27</v>
      </c>
      <c r="G1" s="3" t="s">
        <v>28</v>
      </c>
      <c r="H1" s="2" t="s">
        <v>3</v>
      </c>
      <c r="I1" s="4" t="s">
        <v>29</v>
      </c>
      <c r="J1" s="11" t="s">
        <v>30</v>
      </c>
      <c r="K1" s="48"/>
      <c r="L1" s="48"/>
      <c r="M1" s="49"/>
      <c r="N1" s="48"/>
      <c r="O1" s="48"/>
      <c r="P1" s="48"/>
      <c r="Q1" s="48"/>
      <c r="R1" s="48"/>
      <c r="S1" s="48"/>
      <c r="T1" s="48"/>
      <c r="U1" s="48"/>
      <c r="V1" s="48"/>
      <c r="W1" s="48"/>
      <c r="X1" s="58"/>
    </row>
    <row r="2" ht="16.5" hidden="1" spans="1:27">
      <c r="A2" s="5">
        <v>4</v>
      </c>
      <c r="B2" s="5" t="s">
        <v>31</v>
      </c>
      <c r="C2" s="6" t="s">
        <v>32</v>
      </c>
      <c r="D2" s="6">
        <v>16</v>
      </c>
      <c r="E2" s="49">
        <v>1500</v>
      </c>
      <c r="F2" s="6">
        <v>6070</v>
      </c>
      <c r="G2" s="8" t="s">
        <v>33</v>
      </c>
      <c r="H2" s="5">
        <v>1</v>
      </c>
      <c r="I2" s="9">
        <f>E2*H2*F2*D2*7.85/1000000</f>
        <v>1143.588</v>
      </c>
      <c r="J2" s="13" t="s">
        <v>34</v>
      </c>
      <c r="K2" s="48" t="s">
        <v>89</v>
      </c>
      <c r="L2" s="48"/>
      <c r="M2" s="7">
        <v>30</v>
      </c>
      <c r="N2" s="48" t="s">
        <v>286</v>
      </c>
      <c r="O2" s="54" t="s">
        <v>287</v>
      </c>
      <c r="P2" s="33">
        <v>1</v>
      </c>
      <c r="Q2" s="48"/>
      <c r="R2" s="48"/>
      <c r="S2" s="48"/>
      <c r="T2" s="48"/>
      <c r="U2" s="59">
        <f>D2*E2*F2*(P2+R2+T2)*7.85/1000/1000</f>
        <v>1143.588</v>
      </c>
      <c r="V2" s="48">
        <f>H2-P2-R2-T2</f>
        <v>0</v>
      </c>
      <c r="W2" s="49" t="s">
        <v>288</v>
      </c>
      <c r="X2" s="58">
        <f>F2*V2</f>
        <v>0</v>
      </c>
      <c r="Z2">
        <f>D2*E2*X2*7.85/1000/1000</f>
        <v>0</v>
      </c>
      <c r="AA2">
        <f>I2-U2-Z2</f>
        <v>0</v>
      </c>
    </row>
    <row r="3" ht="16.5" hidden="1" spans="1:27">
      <c r="A3" s="5">
        <v>4</v>
      </c>
      <c r="B3" s="5" t="s">
        <v>31</v>
      </c>
      <c r="C3" s="6" t="s">
        <v>32</v>
      </c>
      <c r="D3" s="6">
        <v>16</v>
      </c>
      <c r="E3" s="49">
        <v>1500</v>
      </c>
      <c r="F3" s="6">
        <v>6240</v>
      </c>
      <c r="G3" s="8" t="s">
        <v>33</v>
      </c>
      <c r="H3" s="5">
        <v>1</v>
      </c>
      <c r="I3" s="9">
        <f t="shared" ref="I3:I34" si="0">E3*H3*F3*D3*7.85/1000000</f>
        <v>1175.616</v>
      </c>
      <c r="J3" s="13" t="s">
        <v>34</v>
      </c>
      <c r="K3" s="48" t="s">
        <v>72</v>
      </c>
      <c r="L3" s="48"/>
      <c r="M3" s="55">
        <v>21</v>
      </c>
      <c r="N3" s="48" t="s">
        <v>286</v>
      </c>
      <c r="O3" s="54" t="s">
        <v>289</v>
      </c>
      <c r="P3" s="33">
        <v>1</v>
      </c>
      <c r="Q3" s="48"/>
      <c r="R3" s="48"/>
      <c r="S3" s="48"/>
      <c r="T3" s="48"/>
      <c r="U3" s="59">
        <f t="shared" ref="U3:U34" si="1">D3*E3*F3*(P3+R3+T3)*7.85/1000/1000</f>
        <v>1175.616</v>
      </c>
      <c r="V3" s="48">
        <f>H3-P3-R3-T3</f>
        <v>0</v>
      </c>
      <c r="W3" s="49" t="s">
        <v>288</v>
      </c>
      <c r="X3" s="58">
        <f t="shared" ref="X3:X34" si="2">F3*V3</f>
        <v>0</v>
      </c>
      <c r="Z3">
        <f>D3*E3*X3*7.85/1000/1000</f>
        <v>0</v>
      </c>
      <c r="AA3">
        <f t="shared" ref="AA3:AA34" si="3">I3-U3-Z3</f>
        <v>0</v>
      </c>
    </row>
    <row r="4" ht="16.5" hidden="1" spans="1:27">
      <c r="A4" s="5">
        <v>5</v>
      </c>
      <c r="B4" s="5" t="s">
        <v>31</v>
      </c>
      <c r="C4" s="6" t="s">
        <v>32</v>
      </c>
      <c r="D4" s="6">
        <v>16</v>
      </c>
      <c r="E4" s="20">
        <v>1500</v>
      </c>
      <c r="F4" s="6">
        <v>8010</v>
      </c>
      <c r="G4" s="8" t="s">
        <v>33</v>
      </c>
      <c r="H4" s="5">
        <v>1</v>
      </c>
      <c r="I4" s="9">
        <f t="shared" si="0"/>
        <v>1509.084</v>
      </c>
      <c r="J4" s="13" t="s">
        <v>34</v>
      </c>
      <c r="K4" s="48" t="s">
        <v>84</v>
      </c>
      <c r="L4" s="48"/>
      <c r="M4" s="49" t="s">
        <v>288</v>
      </c>
      <c r="N4" s="48"/>
      <c r="O4" s="48"/>
      <c r="P4" s="48"/>
      <c r="Q4" s="48"/>
      <c r="R4" s="48"/>
      <c r="S4" s="48"/>
      <c r="T4" s="48"/>
      <c r="U4" s="59">
        <f t="shared" si="1"/>
        <v>0</v>
      </c>
      <c r="V4" s="48">
        <f>H4-P4-R4-T4</f>
        <v>1</v>
      </c>
      <c r="W4" s="49" t="s">
        <v>288</v>
      </c>
      <c r="X4" s="58">
        <f t="shared" si="2"/>
        <v>8010</v>
      </c>
      <c r="Z4">
        <f>D4*E4*X4*7.85/1000/1000</f>
        <v>1509.084</v>
      </c>
      <c r="AA4">
        <f t="shared" si="3"/>
        <v>0</v>
      </c>
    </row>
    <row r="5" ht="16.5" hidden="1" spans="1:27">
      <c r="A5" s="5">
        <v>6</v>
      </c>
      <c r="B5" s="5" t="s">
        <v>31</v>
      </c>
      <c r="C5" s="6" t="s">
        <v>32</v>
      </c>
      <c r="D5" s="6">
        <v>16</v>
      </c>
      <c r="E5" s="20">
        <v>1500</v>
      </c>
      <c r="F5" s="6">
        <v>8030</v>
      </c>
      <c r="G5" s="8" t="s">
        <v>33</v>
      </c>
      <c r="H5" s="5">
        <v>1</v>
      </c>
      <c r="I5" s="9">
        <f t="shared" si="0"/>
        <v>1512.852</v>
      </c>
      <c r="J5" s="13" t="s">
        <v>34</v>
      </c>
      <c r="K5" s="48" t="s">
        <v>84</v>
      </c>
      <c r="L5" s="48"/>
      <c r="M5" s="7">
        <v>28</v>
      </c>
      <c r="N5" s="48" t="s">
        <v>286</v>
      </c>
      <c r="O5" s="54" t="s">
        <v>290</v>
      </c>
      <c r="P5" s="33">
        <v>1</v>
      </c>
      <c r="Q5" s="48"/>
      <c r="R5" s="48"/>
      <c r="S5" s="48"/>
      <c r="T5" s="48"/>
      <c r="U5" s="59">
        <f t="shared" si="1"/>
        <v>1512.852</v>
      </c>
      <c r="V5" s="48">
        <f>H5-P5-R5-T5</f>
        <v>0</v>
      </c>
      <c r="W5" s="49" t="s">
        <v>288</v>
      </c>
      <c r="X5" s="58">
        <f t="shared" si="2"/>
        <v>0</v>
      </c>
      <c r="Z5">
        <f t="shared" ref="Z5:Z36" si="4">D5*E5*X5*7.85/1000/1000</f>
        <v>0</v>
      </c>
      <c r="AA5">
        <f t="shared" si="3"/>
        <v>0</v>
      </c>
    </row>
    <row r="6" ht="16.5" hidden="1" spans="1:27">
      <c r="A6" s="5">
        <v>5</v>
      </c>
      <c r="B6" s="5" t="s">
        <v>31</v>
      </c>
      <c r="C6" s="6" t="s">
        <v>32</v>
      </c>
      <c r="D6" s="6">
        <v>16</v>
      </c>
      <c r="E6" s="49">
        <v>1500</v>
      </c>
      <c r="F6" s="6">
        <v>8030</v>
      </c>
      <c r="G6" s="8" t="s">
        <v>33</v>
      </c>
      <c r="H6" s="5">
        <v>3</v>
      </c>
      <c r="I6" s="9">
        <f t="shared" si="0"/>
        <v>4538.556</v>
      </c>
      <c r="J6" s="13" t="s">
        <v>34</v>
      </c>
      <c r="K6" s="48" t="s">
        <v>89</v>
      </c>
      <c r="L6" s="48"/>
      <c r="M6" s="7" t="s">
        <v>291</v>
      </c>
      <c r="N6" s="48" t="s">
        <v>286</v>
      </c>
      <c r="O6" s="54" t="s">
        <v>292</v>
      </c>
      <c r="P6" s="33">
        <v>1</v>
      </c>
      <c r="Q6" s="33" t="s">
        <v>293</v>
      </c>
      <c r="R6" s="33">
        <v>1</v>
      </c>
      <c r="S6" s="33" t="s">
        <v>294</v>
      </c>
      <c r="T6" s="33">
        <v>1</v>
      </c>
      <c r="U6" s="59">
        <f t="shared" si="1"/>
        <v>4538.556</v>
      </c>
      <c r="V6" s="48">
        <f>H6-P6-R6-T6</f>
        <v>0</v>
      </c>
      <c r="W6" s="49" t="s">
        <v>288</v>
      </c>
      <c r="X6" s="58">
        <f t="shared" si="2"/>
        <v>0</v>
      </c>
      <c r="Z6">
        <f t="shared" si="4"/>
        <v>0</v>
      </c>
      <c r="AA6">
        <f t="shared" si="3"/>
        <v>0</v>
      </c>
    </row>
    <row r="7" ht="16.5" hidden="1" spans="1:27">
      <c r="A7" s="5">
        <v>5</v>
      </c>
      <c r="B7" s="5" t="s">
        <v>31</v>
      </c>
      <c r="C7" s="6" t="s">
        <v>32</v>
      </c>
      <c r="D7" s="6">
        <v>16</v>
      </c>
      <c r="E7" s="49">
        <v>1500</v>
      </c>
      <c r="F7" s="6">
        <v>8050</v>
      </c>
      <c r="G7" s="8" t="s">
        <v>33</v>
      </c>
      <c r="H7" s="5">
        <v>1</v>
      </c>
      <c r="I7" s="9">
        <f t="shared" si="0"/>
        <v>1516.62</v>
      </c>
      <c r="J7" s="13" t="s">
        <v>34</v>
      </c>
      <c r="K7" s="48" t="s">
        <v>72</v>
      </c>
      <c r="L7" s="48"/>
      <c r="M7" s="7">
        <v>21</v>
      </c>
      <c r="N7" s="48" t="s">
        <v>286</v>
      </c>
      <c r="O7" s="54" t="s">
        <v>295</v>
      </c>
      <c r="P7" s="33">
        <v>1</v>
      </c>
      <c r="Q7" s="48"/>
      <c r="R7" s="48"/>
      <c r="S7" s="48"/>
      <c r="T7" s="48"/>
      <c r="U7" s="59">
        <f t="shared" si="1"/>
        <v>1516.62</v>
      </c>
      <c r="V7" s="48">
        <f t="shared" ref="V7:V38" si="5">H7-P7-R7-T7</f>
        <v>0</v>
      </c>
      <c r="W7" s="49" t="s">
        <v>288</v>
      </c>
      <c r="X7" s="58">
        <f t="shared" si="2"/>
        <v>0</v>
      </c>
      <c r="Z7">
        <f t="shared" si="4"/>
        <v>0</v>
      </c>
      <c r="AA7">
        <f t="shared" si="3"/>
        <v>0</v>
      </c>
    </row>
    <row r="8" ht="16.5" hidden="1" spans="1:27">
      <c r="A8" s="5">
        <v>10</v>
      </c>
      <c r="B8" s="5" t="s">
        <v>31</v>
      </c>
      <c r="C8" s="6" t="s">
        <v>32</v>
      </c>
      <c r="D8" s="6">
        <v>16</v>
      </c>
      <c r="E8" s="20">
        <v>1500</v>
      </c>
      <c r="F8" s="6">
        <v>8050</v>
      </c>
      <c r="G8" s="8" t="s">
        <v>33</v>
      </c>
      <c r="H8" s="5">
        <v>1</v>
      </c>
      <c r="I8" s="9">
        <f t="shared" si="0"/>
        <v>1516.62</v>
      </c>
      <c r="J8" s="13" t="s">
        <v>34</v>
      </c>
      <c r="K8" s="48" t="s">
        <v>84</v>
      </c>
      <c r="L8" s="48"/>
      <c r="M8" s="7">
        <v>26</v>
      </c>
      <c r="N8" s="48" t="s">
        <v>286</v>
      </c>
      <c r="O8" s="54" t="s">
        <v>296</v>
      </c>
      <c r="P8" s="33">
        <v>1</v>
      </c>
      <c r="Q8" s="48"/>
      <c r="R8" s="48"/>
      <c r="S8" s="48"/>
      <c r="T8" s="48"/>
      <c r="U8" s="59">
        <f t="shared" si="1"/>
        <v>1516.62</v>
      </c>
      <c r="V8" s="48">
        <f t="shared" si="5"/>
        <v>0</v>
      </c>
      <c r="W8" s="49" t="s">
        <v>288</v>
      </c>
      <c r="X8" s="58">
        <f t="shared" si="2"/>
        <v>0</v>
      </c>
      <c r="Z8">
        <f t="shared" si="4"/>
        <v>0</v>
      </c>
      <c r="AA8">
        <f t="shared" si="3"/>
        <v>0</v>
      </c>
    </row>
    <row r="9" ht="16.5" hidden="1" spans="1:27">
      <c r="A9" s="5">
        <v>7</v>
      </c>
      <c r="B9" s="5" t="s">
        <v>31</v>
      </c>
      <c r="C9" s="6" t="s">
        <v>32</v>
      </c>
      <c r="D9" s="6">
        <v>16</v>
      </c>
      <c r="E9" s="20">
        <v>1500</v>
      </c>
      <c r="F9" s="6">
        <v>8060</v>
      </c>
      <c r="G9" s="8" t="s">
        <v>33</v>
      </c>
      <c r="H9" s="5">
        <v>1</v>
      </c>
      <c r="I9" s="9">
        <f t="shared" si="0"/>
        <v>1518.504</v>
      </c>
      <c r="J9" s="13" t="s">
        <v>34</v>
      </c>
      <c r="K9" s="48" t="s">
        <v>84</v>
      </c>
      <c r="L9" s="48"/>
      <c r="M9" s="7">
        <v>22</v>
      </c>
      <c r="N9" s="48" t="s">
        <v>286</v>
      </c>
      <c r="O9" s="54" t="s">
        <v>297</v>
      </c>
      <c r="P9" s="33">
        <v>1</v>
      </c>
      <c r="Q9" s="48"/>
      <c r="R9" s="48"/>
      <c r="S9" s="48"/>
      <c r="T9" s="48"/>
      <c r="U9" s="59">
        <f t="shared" si="1"/>
        <v>1518.504</v>
      </c>
      <c r="V9" s="48">
        <f t="shared" si="5"/>
        <v>0</v>
      </c>
      <c r="W9" s="49" t="s">
        <v>288</v>
      </c>
      <c r="X9" s="58">
        <f t="shared" si="2"/>
        <v>0</v>
      </c>
      <c r="Z9">
        <f t="shared" si="4"/>
        <v>0</v>
      </c>
      <c r="AA9">
        <f t="shared" si="3"/>
        <v>0</v>
      </c>
    </row>
    <row r="10" ht="16.5" hidden="1" spans="1:27">
      <c r="A10" s="5">
        <v>8</v>
      </c>
      <c r="B10" s="5" t="s">
        <v>31</v>
      </c>
      <c r="C10" s="6" t="s">
        <v>32</v>
      </c>
      <c r="D10" s="6">
        <v>16</v>
      </c>
      <c r="E10" s="20">
        <v>1500</v>
      </c>
      <c r="F10" s="6">
        <v>9990</v>
      </c>
      <c r="G10" s="8" t="s">
        <v>33</v>
      </c>
      <c r="H10" s="5">
        <v>1</v>
      </c>
      <c r="I10" s="9">
        <f t="shared" si="0"/>
        <v>1882.116</v>
      </c>
      <c r="J10" s="13" t="s">
        <v>34</v>
      </c>
      <c r="K10" s="48" t="s">
        <v>84</v>
      </c>
      <c r="L10" s="48"/>
      <c r="M10" s="7">
        <v>22</v>
      </c>
      <c r="N10" s="48" t="s">
        <v>286</v>
      </c>
      <c r="O10" s="54" t="s">
        <v>298</v>
      </c>
      <c r="P10" s="33">
        <v>1</v>
      </c>
      <c r="Q10" s="48"/>
      <c r="R10" s="48"/>
      <c r="S10" s="48"/>
      <c r="T10" s="48"/>
      <c r="U10" s="59">
        <f t="shared" si="1"/>
        <v>1882.116</v>
      </c>
      <c r="V10" s="48">
        <f t="shared" si="5"/>
        <v>0</v>
      </c>
      <c r="W10" s="49" t="s">
        <v>288</v>
      </c>
      <c r="X10" s="58">
        <f t="shared" si="2"/>
        <v>0</v>
      </c>
      <c r="Z10">
        <f t="shared" si="4"/>
        <v>0</v>
      </c>
      <c r="AA10">
        <f t="shared" si="3"/>
        <v>0</v>
      </c>
    </row>
    <row r="11" ht="16.5" hidden="1" spans="1:27">
      <c r="A11" s="5">
        <v>6</v>
      </c>
      <c r="B11" s="5" t="s">
        <v>31</v>
      </c>
      <c r="C11" s="6" t="s">
        <v>32</v>
      </c>
      <c r="D11" s="6">
        <v>16</v>
      </c>
      <c r="E11" s="49">
        <v>1500</v>
      </c>
      <c r="F11" s="6">
        <v>10020</v>
      </c>
      <c r="G11" s="8" t="s">
        <v>33</v>
      </c>
      <c r="H11" s="5">
        <v>1</v>
      </c>
      <c r="I11" s="9">
        <f t="shared" si="0"/>
        <v>1887.768</v>
      </c>
      <c r="J11" s="13" t="s">
        <v>34</v>
      </c>
      <c r="K11" s="48" t="s">
        <v>89</v>
      </c>
      <c r="L11" s="48"/>
      <c r="M11" s="7">
        <v>26</v>
      </c>
      <c r="N11" s="48" t="s">
        <v>286</v>
      </c>
      <c r="O11" s="54" t="s">
        <v>299</v>
      </c>
      <c r="P11" s="33">
        <v>1</v>
      </c>
      <c r="Q11" s="48"/>
      <c r="R11" s="48"/>
      <c r="S11" s="48"/>
      <c r="T11" s="48"/>
      <c r="U11" s="59">
        <f t="shared" si="1"/>
        <v>1887.768</v>
      </c>
      <c r="V11" s="48">
        <f t="shared" si="5"/>
        <v>0</v>
      </c>
      <c r="W11" s="49" t="s">
        <v>288</v>
      </c>
      <c r="X11" s="58">
        <f t="shared" si="2"/>
        <v>0</v>
      </c>
      <c r="Z11">
        <f t="shared" si="4"/>
        <v>0</v>
      </c>
      <c r="AA11">
        <f t="shared" si="3"/>
        <v>0</v>
      </c>
    </row>
    <row r="12" ht="16.5" hidden="1" spans="1:27">
      <c r="A12" s="5">
        <v>9</v>
      </c>
      <c r="B12" s="5" t="s">
        <v>31</v>
      </c>
      <c r="C12" s="6" t="s">
        <v>32</v>
      </c>
      <c r="D12" s="6">
        <v>16</v>
      </c>
      <c r="E12" s="20">
        <v>1500</v>
      </c>
      <c r="F12" s="6">
        <v>11050</v>
      </c>
      <c r="G12" s="8" t="s">
        <v>33</v>
      </c>
      <c r="H12" s="5">
        <v>1</v>
      </c>
      <c r="I12" s="9">
        <f t="shared" si="0"/>
        <v>2081.82</v>
      </c>
      <c r="J12" s="13" t="s">
        <v>34</v>
      </c>
      <c r="K12" s="48" t="s">
        <v>84</v>
      </c>
      <c r="L12" s="48"/>
      <c r="M12" s="7">
        <v>27</v>
      </c>
      <c r="N12" s="48" t="s">
        <v>286</v>
      </c>
      <c r="O12" s="54" t="s">
        <v>300</v>
      </c>
      <c r="P12" s="33">
        <v>1</v>
      </c>
      <c r="Q12" s="48"/>
      <c r="R12" s="48"/>
      <c r="S12" s="48"/>
      <c r="T12" s="48"/>
      <c r="U12" s="59">
        <f t="shared" si="1"/>
        <v>2081.82</v>
      </c>
      <c r="V12" s="48">
        <f t="shared" si="5"/>
        <v>0</v>
      </c>
      <c r="W12" s="49" t="s">
        <v>288</v>
      </c>
      <c r="X12" s="58">
        <f t="shared" si="2"/>
        <v>0</v>
      </c>
      <c r="Z12">
        <f t="shared" si="4"/>
        <v>0</v>
      </c>
      <c r="AA12">
        <f t="shared" si="3"/>
        <v>0</v>
      </c>
    </row>
    <row r="13" ht="16.5" hidden="1" spans="1:27">
      <c r="A13" s="5">
        <v>4</v>
      </c>
      <c r="B13" s="5" t="s">
        <v>31</v>
      </c>
      <c r="C13" s="6" t="s">
        <v>32</v>
      </c>
      <c r="D13" s="6">
        <v>16</v>
      </c>
      <c r="E13" s="20">
        <v>1500</v>
      </c>
      <c r="F13" s="6">
        <v>12410</v>
      </c>
      <c r="G13" s="8" t="s">
        <v>33</v>
      </c>
      <c r="H13" s="5">
        <v>1</v>
      </c>
      <c r="I13" s="9">
        <f t="shared" si="0"/>
        <v>2338.044</v>
      </c>
      <c r="J13" s="13" t="s">
        <v>35</v>
      </c>
      <c r="K13" s="48" t="s">
        <v>84</v>
      </c>
      <c r="L13" s="48"/>
      <c r="M13" s="55">
        <v>27</v>
      </c>
      <c r="N13" s="48" t="s">
        <v>286</v>
      </c>
      <c r="O13" s="54" t="s">
        <v>301</v>
      </c>
      <c r="P13" s="33">
        <v>1</v>
      </c>
      <c r="Q13" s="48"/>
      <c r="R13" s="48"/>
      <c r="S13" s="48"/>
      <c r="T13" s="48"/>
      <c r="U13" s="59">
        <f t="shared" si="1"/>
        <v>2338.044</v>
      </c>
      <c r="V13" s="48">
        <f t="shared" si="5"/>
        <v>0</v>
      </c>
      <c r="W13" s="49" t="s">
        <v>288</v>
      </c>
      <c r="X13" s="58">
        <f t="shared" si="2"/>
        <v>0</v>
      </c>
      <c r="Y13">
        <f>SUM(X2:X14)</f>
        <v>8010</v>
      </c>
      <c r="Z13">
        <f t="shared" si="4"/>
        <v>0</v>
      </c>
      <c r="AA13">
        <f t="shared" si="3"/>
        <v>0</v>
      </c>
    </row>
    <row r="14" ht="16.5" hidden="1" spans="1:27">
      <c r="A14" s="5">
        <v>6</v>
      </c>
      <c r="B14" s="5" t="s">
        <v>31</v>
      </c>
      <c r="C14" s="6" t="s">
        <v>32</v>
      </c>
      <c r="D14" s="6">
        <v>16</v>
      </c>
      <c r="E14" s="49">
        <v>1500.00000000107</v>
      </c>
      <c r="F14" s="6">
        <v>7650</v>
      </c>
      <c r="G14" s="8" t="s">
        <v>33</v>
      </c>
      <c r="H14" s="5">
        <v>1</v>
      </c>
      <c r="I14" s="9">
        <f t="shared" si="0"/>
        <v>1441.26000000103</v>
      </c>
      <c r="J14" s="13" t="s">
        <v>11</v>
      </c>
      <c r="K14" s="48" t="s">
        <v>72</v>
      </c>
      <c r="L14" s="48"/>
      <c r="M14" s="7">
        <v>21</v>
      </c>
      <c r="N14" s="48" t="s">
        <v>286</v>
      </c>
      <c r="O14" s="54" t="s">
        <v>302</v>
      </c>
      <c r="P14" s="33">
        <v>1</v>
      </c>
      <c r="Q14" s="48"/>
      <c r="R14" s="48"/>
      <c r="S14" s="48"/>
      <c r="T14" s="48"/>
      <c r="U14" s="59">
        <f t="shared" si="1"/>
        <v>1441.26000000103</v>
      </c>
      <c r="V14" s="48">
        <f t="shared" si="5"/>
        <v>0</v>
      </c>
      <c r="W14" s="49" t="s">
        <v>288</v>
      </c>
      <c r="X14" s="58">
        <f t="shared" si="2"/>
        <v>0</v>
      </c>
      <c r="Z14">
        <f t="shared" si="4"/>
        <v>0</v>
      </c>
      <c r="AA14">
        <f t="shared" si="3"/>
        <v>0</v>
      </c>
    </row>
    <row r="15" ht="16.5" hidden="1" spans="1:27">
      <c r="A15" s="5">
        <v>16</v>
      </c>
      <c r="B15" s="5" t="s">
        <v>31</v>
      </c>
      <c r="C15" s="6" t="s">
        <v>32</v>
      </c>
      <c r="D15" s="6">
        <v>16</v>
      </c>
      <c r="E15" s="49">
        <v>1800</v>
      </c>
      <c r="F15" s="6">
        <v>5930</v>
      </c>
      <c r="G15" s="8" t="s">
        <v>33</v>
      </c>
      <c r="H15" s="5">
        <v>1</v>
      </c>
      <c r="I15" s="9">
        <f t="shared" si="0"/>
        <v>1340.6544</v>
      </c>
      <c r="J15" s="13" t="s">
        <v>11</v>
      </c>
      <c r="K15" s="48" t="s">
        <v>72</v>
      </c>
      <c r="L15" s="48"/>
      <c r="M15" s="49" t="s">
        <v>303</v>
      </c>
      <c r="N15" s="48"/>
      <c r="O15" s="48"/>
      <c r="P15" s="48"/>
      <c r="Q15" s="48"/>
      <c r="R15" s="48"/>
      <c r="S15" s="48"/>
      <c r="T15" s="48"/>
      <c r="U15" s="59">
        <f t="shared" si="1"/>
        <v>0</v>
      </c>
      <c r="V15" s="48">
        <f t="shared" si="5"/>
        <v>1</v>
      </c>
      <c r="W15" s="49" t="s">
        <v>303</v>
      </c>
      <c r="X15" s="58">
        <f t="shared" si="2"/>
        <v>5930</v>
      </c>
      <c r="Z15">
        <f t="shared" si="4"/>
        <v>1340.6544</v>
      </c>
      <c r="AA15">
        <f t="shared" si="3"/>
        <v>0</v>
      </c>
    </row>
    <row r="16" ht="16.5" hidden="1" spans="1:27">
      <c r="A16" s="5">
        <v>7</v>
      </c>
      <c r="B16" s="5" t="s">
        <v>31</v>
      </c>
      <c r="C16" s="6" t="s">
        <v>32</v>
      </c>
      <c r="D16" s="6">
        <v>16</v>
      </c>
      <c r="E16" s="49">
        <v>1800</v>
      </c>
      <c r="F16" s="6">
        <v>7150</v>
      </c>
      <c r="G16" s="8" t="s">
        <v>33</v>
      </c>
      <c r="H16" s="5">
        <v>1</v>
      </c>
      <c r="I16" s="9">
        <f t="shared" si="0"/>
        <v>1616.472</v>
      </c>
      <c r="J16" s="13" t="s">
        <v>35</v>
      </c>
      <c r="K16" s="48" t="s">
        <v>89</v>
      </c>
      <c r="L16" s="48"/>
      <c r="M16" s="7">
        <v>24</v>
      </c>
      <c r="N16" s="48" t="s">
        <v>286</v>
      </c>
      <c r="O16" s="54" t="s">
        <v>304</v>
      </c>
      <c r="P16" s="33">
        <v>1</v>
      </c>
      <c r="Q16" s="48"/>
      <c r="R16" s="48"/>
      <c r="S16" s="48"/>
      <c r="T16" s="48"/>
      <c r="U16" s="59">
        <f t="shared" si="1"/>
        <v>1616.472</v>
      </c>
      <c r="V16" s="48">
        <f t="shared" si="5"/>
        <v>0</v>
      </c>
      <c r="W16" s="49" t="s">
        <v>303</v>
      </c>
      <c r="X16" s="58">
        <f t="shared" si="2"/>
        <v>0</v>
      </c>
      <c r="Z16">
        <f t="shared" si="4"/>
        <v>0</v>
      </c>
      <c r="AA16">
        <f t="shared" si="3"/>
        <v>0</v>
      </c>
    </row>
    <row r="17" ht="16.5" hidden="1" spans="1:27">
      <c r="A17" s="5">
        <v>29</v>
      </c>
      <c r="B17" s="5" t="s">
        <v>31</v>
      </c>
      <c r="C17" s="6" t="s">
        <v>32</v>
      </c>
      <c r="D17" s="6">
        <v>16</v>
      </c>
      <c r="E17" s="20">
        <v>1800</v>
      </c>
      <c r="F17" s="6">
        <v>7420</v>
      </c>
      <c r="G17" s="8" t="s">
        <v>33</v>
      </c>
      <c r="H17" s="5">
        <v>1</v>
      </c>
      <c r="I17" s="9">
        <f t="shared" si="0"/>
        <v>1677.5136</v>
      </c>
      <c r="J17" s="13" t="s">
        <v>11</v>
      </c>
      <c r="K17" s="48" t="s">
        <v>84</v>
      </c>
      <c r="L17" s="48"/>
      <c r="M17" s="49" t="s">
        <v>303</v>
      </c>
      <c r="N17" s="48"/>
      <c r="O17" s="48"/>
      <c r="P17" s="48"/>
      <c r="Q17" s="48"/>
      <c r="R17" s="48"/>
      <c r="S17" s="48"/>
      <c r="T17" s="48"/>
      <c r="U17" s="59">
        <f t="shared" si="1"/>
        <v>0</v>
      </c>
      <c r="V17" s="48">
        <f t="shared" si="5"/>
        <v>1</v>
      </c>
      <c r="W17" s="49" t="s">
        <v>303</v>
      </c>
      <c r="X17" s="58">
        <f t="shared" si="2"/>
        <v>7420</v>
      </c>
      <c r="Z17">
        <f t="shared" si="4"/>
        <v>1677.5136</v>
      </c>
      <c r="AA17">
        <f t="shared" si="3"/>
        <v>0</v>
      </c>
    </row>
    <row r="18" ht="16.5" hidden="1" spans="1:27">
      <c r="A18" s="5">
        <v>14</v>
      </c>
      <c r="B18" s="5" t="s">
        <v>31</v>
      </c>
      <c r="C18" s="6" t="s">
        <v>32</v>
      </c>
      <c r="D18" s="6">
        <v>16</v>
      </c>
      <c r="E18" s="49">
        <v>1800</v>
      </c>
      <c r="F18" s="6">
        <v>7430</v>
      </c>
      <c r="G18" s="8" t="s">
        <v>33</v>
      </c>
      <c r="H18" s="5">
        <v>1</v>
      </c>
      <c r="I18" s="9">
        <f t="shared" si="0"/>
        <v>1679.7744</v>
      </c>
      <c r="J18" s="13" t="s">
        <v>35</v>
      </c>
      <c r="K18" s="48" t="s">
        <v>89</v>
      </c>
      <c r="L18" s="48"/>
      <c r="M18" s="49" t="s">
        <v>303</v>
      </c>
      <c r="N18" s="48"/>
      <c r="O18" s="48"/>
      <c r="P18" s="48"/>
      <c r="Q18" s="48"/>
      <c r="R18" s="48"/>
      <c r="S18" s="48"/>
      <c r="T18" s="48"/>
      <c r="U18" s="59">
        <f t="shared" si="1"/>
        <v>0</v>
      </c>
      <c r="V18" s="48">
        <f t="shared" si="5"/>
        <v>1</v>
      </c>
      <c r="W18" s="49" t="s">
        <v>303</v>
      </c>
      <c r="X18" s="58">
        <f t="shared" si="2"/>
        <v>7430</v>
      </c>
      <c r="Z18">
        <f t="shared" si="4"/>
        <v>1679.7744</v>
      </c>
      <c r="AA18">
        <f t="shared" si="3"/>
        <v>0</v>
      </c>
    </row>
    <row r="19" ht="16.5" hidden="1" spans="1:27">
      <c r="A19" s="5">
        <v>21</v>
      </c>
      <c r="B19" s="5" t="s">
        <v>31</v>
      </c>
      <c r="C19" s="6" t="s">
        <v>32</v>
      </c>
      <c r="D19" s="6">
        <v>16</v>
      </c>
      <c r="E19" s="49">
        <v>1800</v>
      </c>
      <c r="F19" s="6">
        <v>7430</v>
      </c>
      <c r="G19" s="8" t="s">
        <v>33</v>
      </c>
      <c r="H19" s="5">
        <v>3</v>
      </c>
      <c r="I19" s="9">
        <f t="shared" si="0"/>
        <v>5039.3232</v>
      </c>
      <c r="J19" s="13" t="s">
        <v>11</v>
      </c>
      <c r="K19" s="48" t="s">
        <v>89</v>
      </c>
      <c r="L19" s="48"/>
      <c r="M19" s="49" t="s">
        <v>303</v>
      </c>
      <c r="N19" s="48"/>
      <c r="O19" s="48"/>
      <c r="P19" s="48"/>
      <c r="Q19" s="48"/>
      <c r="R19" s="48"/>
      <c r="S19" s="48"/>
      <c r="T19" s="48"/>
      <c r="U19" s="59">
        <f t="shared" si="1"/>
        <v>0</v>
      </c>
      <c r="V19" s="48">
        <f t="shared" si="5"/>
        <v>3</v>
      </c>
      <c r="W19" s="49" t="s">
        <v>303</v>
      </c>
      <c r="X19" s="58">
        <f t="shared" si="2"/>
        <v>22290</v>
      </c>
      <c r="Z19">
        <f t="shared" si="4"/>
        <v>5039.3232</v>
      </c>
      <c r="AA19">
        <f t="shared" si="3"/>
        <v>0</v>
      </c>
    </row>
    <row r="20" ht="16.5" hidden="1" spans="1:27">
      <c r="A20" s="5">
        <v>30</v>
      </c>
      <c r="B20" s="5" t="s">
        <v>31</v>
      </c>
      <c r="C20" s="6" t="s">
        <v>32</v>
      </c>
      <c r="D20" s="6">
        <v>16</v>
      </c>
      <c r="E20" s="20">
        <v>1800</v>
      </c>
      <c r="F20" s="6">
        <v>7440</v>
      </c>
      <c r="G20" s="8" t="s">
        <v>33</v>
      </c>
      <c r="H20" s="5">
        <v>1</v>
      </c>
      <c r="I20" s="9">
        <f t="shared" si="0"/>
        <v>1682.0352</v>
      </c>
      <c r="J20" s="13" t="s">
        <v>11</v>
      </c>
      <c r="K20" s="48" t="s">
        <v>84</v>
      </c>
      <c r="L20" s="48"/>
      <c r="M20" s="49" t="s">
        <v>303</v>
      </c>
      <c r="N20" s="48"/>
      <c r="O20" s="48"/>
      <c r="P20" s="48"/>
      <c r="Q20" s="48"/>
      <c r="R20" s="48"/>
      <c r="S20" s="48"/>
      <c r="T20" s="48"/>
      <c r="U20" s="59">
        <f t="shared" si="1"/>
        <v>0</v>
      </c>
      <c r="V20" s="48">
        <f t="shared" si="5"/>
        <v>1</v>
      </c>
      <c r="W20" s="49" t="s">
        <v>303</v>
      </c>
      <c r="X20" s="58">
        <f t="shared" si="2"/>
        <v>7440</v>
      </c>
      <c r="Z20">
        <f t="shared" si="4"/>
        <v>1682.0352</v>
      </c>
      <c r="AA20">
        <f t="shared" si="3"/>
        <v>0</v>
      </c>
    </row>
    <row r="21" ht="16.5" hidden="1" spans="1:27">
      <c r="A21" s="5">
        <v>13</v>
      </c>
      <c r="B21" s="5" t="s">
        <v>31</v>
      </c>
      <c r="C21" s="6" t="s">
        <v>32</v>
      </c>
      <c r="D21" s="6">
        <v>16</v>
      </c>
      <c r="E21" s="49">
        <v>1800</v>
      </c>
      <c r="F21" s="6">
        <v>7470</v>
      </c>
      <c r="G21" s="8" t="s">
        <v>33</v>
      </c>
      <c r="H21" s="5">
        <v>1</v>
      </c>
      <c r="I21" s="9">
        <f t="shared" si="0"/>
        <v>1688.8176</v>
      </c>
      <c r="J21" s="13" t="s">
        <v>36</v>
      </c>
      <c r="K21" s="48" t="s">
        <v>78</v>
      </c>
      <c r="L21" s="48"/>
      <c r="M21" s="49" t="s">
        <v>303</v>
      </c>
      <c r="N21" s="48"/>
      <c r="O21" s="48"/>
      <c r="P21" s="48"/>
      <c r="Q21" s="48"/>
      <c r="R21" s="48"/>
      <c r="S21" s="48"/>
      <c r="T21" s="48"/>
      <c r="U21" s="59">
        <f t="shared" si="1"/>
        <v>0</v>
      </c>
      <c r="V21" s="48">
        <f t="shared" si="5"/>
        <v>1</v>
      </c>
      <c r="W21" s="49" t="s">
        <v>303</v>
      </c>
      <c r="X21" s="58">
        <f t="shared" si="2"/>
        <v>7470</v>
      </c>
      <c r="Z21">
        <f t="shared" si="4"/>
        <v>1688.8176</v>
      </c>
      <c r="AA21">
        <f t="shared" si="3"/>
        <v>0</v>
      </c>
    </row>
    <row r="22" ht="16.5" hidden="1" spans="1:27">
      <c r="A22" s="5">
        <v>16</v>
      </c>
      <c r="B22" s="5" t="s">
        <v>31</v>
      </c>
      <c r="C22" s="6" t="s">
        <v>32</v>
      </c>
      <c r="D22" s="6">
        <v>16</v>
      </c>
      <c r="E22" s="49">
        <v>1800</v>
      </c>
      <c r="F22" s="6">
        <v>7470</v>
      </c>
      <c r="G22" s="8" t="s">
        <v>33</v>
      </c>
      <c r="H22" s="5">
        <v>1</v>
      </c>
      <c r="I22" s="9">
        <f t="shared" si="0"/>
        <v>1688.8176</v>
      </c>
      <c r="J22" s="13" t="s">
        <v>36</v>
      </c>
      <c r="K22" s="48" t="s">
        <v>78</v>
      </c>
      <c r="L22" s="48"/>
      <c r="M22" s="49" t="s">
        <v>303</v>
      </c>
      <c r="N22" s="48"/>
      <c r="O22" s="48"/>
      <c r="P22" s="48"/>
      <c r="Q22" s="48"/>
      <c r="R22" s="48"/>
      <c r="S22" s="48"/>
      <c r="T22" s="48"/>
      <c r="U22" s="59">
        <f t="shared" si="1"/>
        <v>0</v>
      </c>
      <c r="V22" s="48">
        <f t="shared" si="5"/>
        <v>1</v>
      </c>
      <c r="W22" s="49" t="s">
        <v>303</v>
      </c>
      <c r="X22" s="58">
        <f t="shared" si="2"/>
        <v>7470</v>
      </c>
      <c r="Z22">
        <f t="shared" si="4"/>
        <v>1688.8176</v>
      </c>
      <c r="AA22">
        <f t="shared" si="3"/>
        <v>0</v>
      </c>
    </row>
    <row r="23" ht="16.5" hidden="1" spans="1:27">
      <c r="A23" s="5">
        <v>33</v>
      </c>
      <c r="B23" s="5" t="s">
        <v>31</v>
      </c>
      <c r="C23" s="6" t="s">
        <v>32</v>
      </c>
      <c r="D23" s="6">
        <v>16</v>
      </c>
      <c r="E23" s="20">
        <v>1800</v>
      </c>
      <c r="F23" s="6">
        <v>7470</v>
      </c>
      <c r="G23" s="8" t="s">
        <v>33</v>
      </c>
      <c r="H23" s="5">
        <v>1</v>
      </c>
      <c r="I23" s="9">
        <f t="shared" si="0"/>
        <v>1688.8176</v>
      </c>
      <c r="J23" s="13" t="s">
        <v>11</v>
      </c>
      <c r="K23" s="48" t="s">
        <v>84</v>
      </c>
      <c r="L23" s="48"/>
      <c r="M23" s="49" t="s">
        <v>303</v>
      </c>
      <c r="N23" s="48"/>
      <c r="O23" s="48"/>
      <c r="P23" s="48"/>
      <c r="Q23" s="48"/>
      <c r="R23" s="48"/>
      <c r="S23" s="48"/>
      <c r="T23" s="48"/>
      <c r="U23" s="59">
        <f t="shared" si="1"/>
        <v>0</v>
      </c>
      <c r="V23" s="48">
        <f t="shared" si="5"/>
        <v>1</v>
      </c>
      <c r="W23" s="49" t="s">
        <v>303</v>
      </c>
      <c r="X23" s="58">
        <f t="shared" si="2"/>
        <v>7470</v>
      </c>
      <c r="Z23">
        <f t="shared" si="4"/>
        <v>1688.8176</v>
      </c>
      <c r="AA23">
        <f t="shared" si="3"/>
        <v>0</v>
      </c>
    </row>
    <row r="24" ht="16.5" hidden="1" spans="1:27">
      <c r="A24" s="5">
        <v>17</v>
      </c>
      <c r="B24" s="5" t="s">
        <v>31</v>
      </c>
      <c r="C24" s="6" t="s">
        <v>32</v>
      </c>
      <c r="D24" s="6">
        <v>16</v>
      </c>
      <c r="E24" s="49">
        <v>1800</v>
      </c>
      <c r="F24" s="6">
        <v>7490</v>
      </c>
      <c r="G24" s="8" t="s">
        <v>33</v>
      </c>
      <c r="H24" s="5">
        <v>1</v>
      </c>
      <c r="I24" s="9">
        <f t="shared" si="0"/>
        <v>1693.3392</v>
      </c>
      <c r="J24" s="13" t="s">
        <v>36</v>
      </c>
      <c r="K24" s="48" t="s">
        <v>78</v>
      </c>
      <c r="L24" s="48"/>
      <c r="M24" s="49" t="s">
        <v>303</v>
      </c>
      <c r="N24" s="48"/>
      <c r="O24" s="48"/>
      <c r="P24" s="48"/>
      <c r="Q24" s="48"/>
      <c r="R24" s="48"/>
      <c r="S24" s="48"/>
      <c r="T24" s="48"/>
      <c r="U24" s="59">
        <f t="shared" si="1"/>
        <v>0</v>
      </c>
      <c r="V24" s="48">
        <f t="shared" si="5"/>
        <v>1</v>
      </c>
      <c r="W24" s="49" t="s">
        <v>303</v>
      </c>
      <c r="X24" s="58">
        <f t="shared" si="2"/>
        <v>7490</v>
      </c>
      <c r="Z24">
        <f t="shared" si="4"/>
        <v>1693.3392</v>
      </c>
      <c r="AA24">
        <f t="shared" si="3"/>
        <v>0</v>
      </c>
    </row>
    <row r="25" ht="16.5" hidden="1" spans="1:27">
      <c r="A25" s="5">
        <v>4</v>
      </c>
      <c r="B25" s="5" t="s">
        <v>31</v>
      </c>
      <c r="C25" s="6" t="s">
        <v>32</v>
      </c>
      <c r="D25" s="6">
        <v>16</v>
      </c>
      <c r="E25" s="49">
        <v>1800</v>
      </c>
      <c r="F25" s="6">
        <v>7540</v>
      </c>
      <c r="G25" s="8" t="s">
        <v>33</v>
      </c>
      <c r="H25" s="5">
        <v>1</v>
      </c>
      <c r="I25" s="9">
        <f t="shared" si="0"/>
        <v>1704.6432</v>
      </c>
      <c r="J25" s="13" t="s">
        <v>35</v>
      </c>
      <c r="K25" s="48" t="s">
        <v>78</v>
      </c>
      <c r="L25" s="48"/>
      <c r="M25" s="49" t="s">
        <v>303</v>
      </c>
      <c r="N25" s="48"/>
      <c r="O25" s="48"/>
      <c r="P25" s="48"/>
      <c r="Q25" s="48"/>
      <c r="R25" s="48"/>
      <c r="S25" s="48"/>
      <c r="T25" s="48"/>
      <c r="U25" s="59">
        <f t="shared" si="1"/>
        <v>0</v>
      </c>
      <c r="V25" s="48">
        <f t="shared" si="5"/>
        <v>1</v>
      </c>
      <c r="W25" s="49" t="s">
        <v>303</v>
      </c>
      <c r="X25" s="58">
        <f t="shared" si="2"/>
        <v>7540</v>
      </c>
      <c r="Z25">
        <f t="shared" si="4"/>
        <v>1704.6432</v>
      </c>
      <c r="AA25">
        <f t="shared" si="3"/>
        <v>0</v>
      </c>
    </row>
    <row r="26" ht="16.5" hidden="1" spans="1:27">
      <c r="A26" s="5">
        <v>14</v>
      </c>
      <c r="B26" s="5" t="s">
        <v>31</v>
      </c>
      <c r="C26" s="6" t="s">
        <v>32</v>
      </c>
      <c r="D26" s="6">
        <v>16</v>
      </c>
      <c r="E26" s="49">
        <v>1800</v>
      </c>
      <c r="F26" s="6">
        <v>7540</v>
      </c>
      <c r="G26" s="8" t="s">
        <v>33</v>
      </c>
      <c r="H26" s="5">
        <v>1</v>
      </c>
      <c r="I26" s="9">
        <f t="shared" si="0"/>
        <v>1704.6432</v>
      </c>
      <c r="J26" s="13" t="s">
        <v>36</v>
      </c>
      <c r="K26" s="48" t="s">
        <v>78</v>
      </c>
      <c r="L26" s="48"/>
      <c r="M26" s="49" t="s">
        <v>303</v>
      </c>
      <c r="N26" s="48"/>
      <c r="O26" s="48"/>
      <c r="P26" s="48"/>
      <c r="Q26" s="48"/>
      <c r="R26" s="48"/>
      <c r="S26" s="48"/>
      <c r="T26" s="48"/>
      <c r="U26" s="59">
        <f t="shared" si="1"/>
        <v>0</v>
      </c>
      <c r="V26" s="48">
        <f t="shared" si="5"/>
        <v>1</v>
      </c>
      <c r="W26" s="49" t="s">
        <v>303</v>
      </c>
      <c r="X26" s="58">
        <f t="shared" si="2"/>
        <v>7540</v>
      </c>
      <c r="Z26">
        <f t="shared" si="4"/>
        <v>1704.6432</v>
      </c>
      <c r="AA26">
        <f t="shared" si="3"/>
        <v>0</v>
      </c>
    </row>
    <row r="27" ht="16.5" hidden="1" spans="1:27">
      <c r="A27" s="5">
        <v>22</v>
      </c>
      <c r="B27" s="5" t="s">
        <v>31</v>
      </c>
      <c r="C27" s="6" t="s">
        <v>32</v>
      </c>
      <c r="D27" s="6">
        <v>16</v>
      </c>
      <c r="E27" s="20">
        <v>1800</v>
      </c>
      <c r="F27" s="6">
        <v>7550</v>
      </c>
      <c r="G27" s="8" t="s">
        <v>33</v>
      </c>
      <c r="H27" s="5">
        <v>1</v>
      </c>
      <c r="I27" s="9">
        <f t="shared" si="0"/>
        <v>1706.904</v>
      </c>
      <c r="J27" s="13" t="s">
        <v>35</v>
      </c>
      <c r="K27" s="48" t="s">
        <v>84</v>
      </c>
      <c r="L27" s="48"/>
      <c r="M27" s="49" t="s">
        <v>303</v>
      </c>
      <c r="N27" s="48"/>
      <c r="O27" s="48"/>
      <c r="P27" s="48"/>
      <c r="Q27" s="48"/>
      <c r="R27" s="48"/>
      <c r="S27" s="48"/>
      <c r="T27" s="48"/>
      <c r="U27" s="59">
        <f t="shared" si="1"/>
        <v>0</v>
      </c>
      <c r="V27" s="48">
        <f t="shared" si="5"/>
        <v>1</v>
      </c>
      <c r="W27" s="49" t="s">
        <v>303</v>
      </c>
      <c r="X27" s="58">
        <f t="shared" si="2"/>
        <v>7550</v>
      </c>
      <c r="Z27">
        <f t="shared" si="4"/>
        <v>1706.904</v>
      </c>
      <c r="AA27">
        <f t="shared" si="3"/>
        <v>0</v>
      </c>
    </row>
    <row r="28" ht="16.5" hidden="1" spans="1:27">
      <c r="A28" s="5">
        <v>17</v>
      </c>
      <c r="B28" s="5" t="s">
        <v>31</v>
      </c>
      <c r="C28" s="6" t="s">
        <v>32</v>
      </c>
      <c r="D28" s="6">
        <v>16</v>
      </c>
      <c r="E28" s="49">
        <v>1800</v>
      </c>
      <c r="F28" s="6">
        <v>7550</v>
      </c>
      <c r="G28" s="8" t="s">
        <v>33</v>
      </c>
      <c r="H28" s="5">
        <v>1</v>
      </c>
      <c r="I28" s="9">
        <f t="shared" si="0"/>
        <v>1706.904</v>
      </c>
      <c r="J28" s="13" t="s">
        <v>34</v>
      </c>
      <c r="K28" s="48" t="s">
        <v>89</v>
      </c>
      <c r="L28" s="48"/>
      <c r="M28" s="49" t="s">
        <v>303</v>
      </c>
      <c r="N28" s="48"/>
      <c r="O28" s="48"/>
      <c r="P28" s="48"/>
      <c r="Q28" s="48"/>
      <c r="R28" s="48"/>
      <c r="S28" s="48"/>
      <c r="T28" s="48"/>
      <c r="U28" s="59">
        <f t="shared" si="1"/>
        <v>0</v>
      </c>
      <c r="V28" s="48">
        <f t="shared" si="5"/>
        <v>1</v>
      </c>
      <c r="W28" s="49" t="s">
        <v>303</v>
      </c>
      <c r="X28" s="58">
        <f t="shared" si="2"/>
        <v>7550</v>
      </c>
      <c r="Z28">
        <f t="shared" si="4"/>
        <v>1706.904</v>
      </c>
      <c r="AA28">
        <f t="shared" si="3"/>
        <v>0</v>
      </c>
    </row>
    <row r="29" ht="16.5" hidden="1" spans="1:27">
      <c r="A29" s="5">
        <v>18</v>
      </c>
      <c r="B29" s="5" t="s">
        <v>31</v>
      </c>
      <c r="C29" s="6" t="s">
        <v>37</v>
      </c>
      <c r="D29" s="6">
        <v>16</v>
      </c>
      <c r="E29" s="49">
        <v>1800</v>
      </c>
      <c r="F29" s="6">
        <v>7570</v>
      </c>
      <c r="G29" s="8" t="s">
        <v>33</v>
      </c>
      <c r="H29" s="5">
        <v>1</v>
      </c>
      <c r="I29" s="9">
        <f t="shared" si="0"/>
        <v>1711.4256</v>
      </c>
      <c r="J29" s="13" t="s">
        <v>38</v>
      </c>
      <c r="K29" s="48" t="s">
        <v>89</v>
      </c>
      <c r="L29" s="48"/>
      <c r="M29" s="49" t="s">
        <v>303</v>
      </c>
      <c r="N29" s="48"/>
      <c r="O29" s="48"/>
      <c r="P29" s="48"/>
      <c r="Q29" s="48"/>
      <c r="R29" s="48"/>
      <c r="S29" s="48"/>
      <c r="T29" s="48"/>
      <c r="U29" s="59">
        <f t="shared" si="1"/>
        <v>0</v>
      </c>
      <c r="V29" s="48">
        <f t="shared" si="5"/>
        <v>1</v>
      </c>
      <c r="W29" s="49" t="s">
        <v>303</v>
      </c>
      <c r="X29" s="58">
        <f t="shared" si="2"/>
        <v>7570</v>
      </c>
      <c r="Z29">
        <f t="shared" si="4"/>
        <v>1711.4256</v>
      </c>
      <c r="AA29">
        <f t="shared" si="3"/>
        <v>0</v>
      </c>
    </row>
    <row r="30" ht="16.5" hidden="1" spans="1:27">
      <c r="A30" s="5">
        <v>17</v>
      </c>
      <c r="B30" s="5" t="s">
        <v>31</v>
      </c>
      <c r="C30" s="6" t="s">
        <v>32</v>
      </c>
      <c r="D30" s="6">
        <v>16</v>
      </c>
      <c r="E30" s="20">
        <v>1800</v>
      </c>
      <c r="F30" s="6">
        <v>7620</v>
      </c>
      <c r="G30" s="8" t="s">
        <v>33</v>
      </c>
      <c r="H30" s="5">
        <v>1</v>
      </c>
      <c r="I30" s="9">
        <f t="shared" si="0"/>
        <v>1722.7296</v>
      </c>
      <c r="J30" s="13" t="s">
        <v>36</v>
      </c>
      <c r="K30" s="48" t="s">
        <v>84</v>
      </c>
      <c r="L30" s="48"/>
      <c r="M30" s="7">
        <v>23</v>
      </c>
      <c r="N30" s="48" t="s">
        <v>286</v>
      </c>
      <c r="O30" s="54" t="s">
        <v>305</v>
      </c>
      <c r="P30" s="33">
        <v>1</v>
      </c>
      <c r="Q30" s="48"/>
      <c r="R30" s="48"/>
      <c r="S30" s="48"/>
      <c r="T30" s="48"/>
      <c r="U30" s="59">
        <f t="shared" si="1"/>
        <v>1722.7296</v>
      </c>
      <c r="V30" s="48">
        <f t="shared" si="5"/>
        <v>0</v>
      </c>
      <c r="W30" s="49" t="s">
        <v>303</v>
      </c>
      <c r="X30" s="58">
        <f t="shared" si="2"/>
        <v>0</v>
      </c>
      <c r="Z30">
        <f t="shared" si="4"/>
        <v>0</v>
      </c>
      <c r="AA30">
        <f t="shared" si="3"/>
        <v>0</v>
      </c>
    </row>
    <row r="31" ht="16.5" hidden="1" spans="1:27">
      <c r="A31" s="5">
        <v>8</v>
      </c>
      <c r="B31" s="5" t="s">
        <v>31</v>
      </c>
      <c r="C31" s="6" t="s">
        <v>32</v>
      </c>
      <c r="D31" s="6">
        <v>16</v>
      </c>
      <c r="E31" s="49">
        <v>1800</v>
      </c>
      <c r="F31" s="6">
        <v>7630</v>
      </c>
      <c r="G31" s="8" t="s">
        <v>33</v>
      </c>
      <c r="H31" s="5">
        <v>1</v>
      </c>
      <c r="I31" s="9">
        <f t="shared" si="0"/>
        <v>1724.9904</v>
      </c>
      <c r="J31" s="13" t="s">
        <v>36</v>
      </c>
      <c r="K31" s="48" t="s">
        <v>89</v>
      </c>
      <c r="L31" s="48"/>
      <c r="M31" s="49" t="s">
        <v>303</v>
      </c>
      <c r="N31" s="48"/>
      <c r="O31" s="48"/>
      <c r="P31" s="48"/>
      <c r="Q31" s="48"/>
      <c r="R31" s="48"/>
      <c r="S31" s="48"/>
      <c r="T31" s="48"/>
      <c r="U31" s="59">
        <f t="shared" si="1"/>
        <v>0</v>
      </c>
      <c r="V31" s="48">
        <f t="shared" si="5"/>
        <v>1</v>
      </c>
      <c r="W31" s="49" t="s">
        <v>303</v>
      </c>
      <c r="X31" s="58">
        <f t="shared" si="2"/>
        <v>7630</v>
      </c>
      <c r="Z31">
        <f t="shared" si="4"/>
        <v>1724.9904</v>
      </c>
      <c r="AA31">
        <f t="shared" si="3"/>
        <v>0</v>
      </c>
    </row>
    <row r="32" ht="16.5" hidden="1" spans="1:27">
      <c r="A32" s="5">
        <v>14</v>
      </c>
      <c r="B32" s="5" t="s">
        <v>31</v>
      </c>
      <c r="C32" s="6" t="s">
        <v>32</v>
      </c>
      <c r="D32" s="6">
        <v>16</v>
      </c>
      <c r="E32" s="20">
        <v>1800</v>
      </c>
      <c r="F32" s="6">
        <v>7640</v>
      </c>
      <c r="G32" s="8" t="s">
        <v>33</v>
      </c>
      <c r="H32" s="5">
        <v>1</v>
      </c>
      <c r="I32" s="9">
        <f t="shared" si="0"/>
        <v>1727.2512</v>
      </c>
      <c r="J32" s="13" t="s">
        <v>36</v>
      </c>
      <c r="K32" s="48" t="s">
        <v>84</v>
      </c>
      <c r="L32" s="48"/>
      <c r="M32" s="49" t="s">
        <v>303</v>
      </c>
      <c r="N32" s="48"/>
      <c r="O32" s="48"/>
      <c r="P32" s="48"/>
      <c r="Q32" s="48"/>
      <c r="R32" s="48"/>
      <c r="S32" s="48"/>
      <c r="T32" s="48"/>
      <c r="U32" s="59">
        <f t="shared" si="1"/>
        <v>0</v>
      </c>
      <c r="V32" s="48">
        <f t="shared" si="5"/>
        <v>1</v>
      </c>
      <c r="W32" s="49" t="s">
        <v>303</v>
      </c>
      <c r="X32" s="58">
        <f t="shared" si="2"/>
        <v>7640</v>
      </c>
      <c r="Z32">
        <f t="shared" si="4"/>
        <v>1727.2512</v>
      </c>
      <c r="AA32">
        <f t="shared" si="3"/>
        <v>0</v>
      </c>
    </row>
    <row r="33" ht="16.5" hidden="1" spans="1:27">
      <c r="A33" s="5">
        <v>11</v>
      </c>
      <c r="B33" s="5" t="s">
        <v>31</v>
      </c>
      <c r="C33" s="6" t="s">
        <v>32</v>
      </c>
      <c r="D33" s="6">
        <v>16</v>
      </c>
      <c r="E33" s="49">
        <v>1800</v>
      </c>
      <c r="F33" s="6">
        <v>7690</v>
      </c>
      <c r="G33" s="8" t="s">
        <v>33</v>
      </c>
      <c r="H33" s="5">
        <v>1</v>
      </c>
      <c r="I33" s="9">
        <f t="shared" si="0"/>
        <v>1738.5552</v>
      </c>
      <c r="J33" s="13" t="s">
        <v>36</v>
      </c>
      <c r="K33" s="48" t="s">
        <v>89</v>
      </c>
      <c r="L33" s="48"/>
      <c r="M33" s="49" t="s">
        <v>303</v>
      </c>
      <c r="N33" s="48"/>
      <c r="O33" s="48"/>
      <c r="P33" s="48"/>
      <c r="Q33" s="48"/>
      <c r="R33" s="48"/>
      <c r="S33" s="48"/>
      <c r="T33" s="48"/>
      <c r="U33" s="59">
        <f t="shared" si="1"/>
        <v>0</v>
      </c>
      <c r="V33" s="48">
        <f t="shared" si="5"/>
        <v>1</v>
      </c>
      <c r="W33" s="49" t="s">
        <v>303</v>
      </c>
      <c r="X33" s="58">
        <f t="shared" si="2"/>
        <v>7690</v>
      </c>
      <c r="Z33">
        <f t="shared" si="4"/>
        <v>1738.5552</v>
      </c>
      <c r="AA33">
        <f t="shared" si="3"/>
        <v>0</v>
      </c>
    </row>
    <row r="34" ht="16.5" hidden="1" spans="1:27">
      <c r="A34" s="5">
        <v>34</v>
      </c>
      <c r="B34" s="5" t="s">
        <v>31</v>
      </c>
      <c r="C34" s="6" t="s">
        <v>32</v>
      </c>
      <c r="D34" s="6">
        <v>16</v>
      </c>
      <c r="E34" s="20">
        <v>1800</v>
      </c>
      <c r="F34" s="6">
        <v>7760</v>
      </c>
      <c r="G34" s="8" t="s">
        <v>33</v>
      </c>
      <c r="H34" s="5">
        <v>1</v>
      </c>
      <c r="I34" s="9">
        <f t="shared" si="0"/>
        <v>1754.3808</v>
      </c>
      <c r="J34" s="13" t="s">
        <v>11</v>
      </c>
      <c r="K34" s="48" t="s">
        <v>84</v>
      </c>
      <c r="L34" s="48"/>
      <c r="M34" s="7">
        <v>23</v>
      </c>
      <c r="N34" s="48" t="s">
        <v>286</v>
      </c>
      <c r="O34" s="54" t="s">
        <v>306</v>
      </c>
      <c r="P34" s="33">
        <v>1</v>
      </c>
      <c r="Q34" s="48"/>
      <c r="R34" s="48"/>
      <c r="S34" s="48"/>
      <c r="T34" s="48"/>
      <c r="U34" s="59">
        <f t="shared" si="1"/>
        <v>1754.3808</v>
      </c>
      <c r="V34" s="48">
        <f t="shared" si="5"/>
        <v>0</v>
      </c>
      <c r="W34" s="49" t="s">
        <v>303</v>
      </c>
      <c r="X34" s="58">
        <f t="shared" si="2"/>
        <v>0</v>
      </c>
      <c r="Z34">
        <f t="shared" si="4"/>
        <v>0</v>
      </c>
      <c r="AA34">
        <f t="shared" si="3"/>
        <v>0</v>
      </c>
    </row>
    <row r="35" ht="16.5" hidden="1" spans="1:27">
      <c r="A35" s="5">
        <v>18</v>
      </c>
      <c r="B35" s="5" t="s">
        <v>31</v>
      </c>
      <c r="C35" s="6" t="s">
        <v>32</v>
      </c>
      <c r="D35" s="6">
        <v>16</v>
      </c>
      <c r="E35" s="49">
        <v>1800</v>
      </c>
      <c r="F35" s="6">
        <v>7820</v>
      </c>
      <c r="G35" s="8" t="s">
        <v>33</v>
      </c>
      <c r="H35" s="5">
        <v>2</v>
      </c>
      <c r="I35" s="9">
        <f t="shared" ref="I35:I66" si="6">E35*H35*F35*D35*7.85/1000000</f>
        <v>3535.8912</v>
      </c>
      <c r="J35" s="13" t="s">
        <v>36</v>
      </c>
      <c r="K35" s="48" t="s">
        <v>78</v>
      </c>
      <c r="L35" s="48"/>
      <c r="M35" s="49" t="s">
        <v>303</v>
      </c>
      <c r="N35" s="48"/>
      <c r="O35" s="48"/>
      <c r="P35" s="48"/>
      <c r="Q35" s="48"/>
      <c r="R35" s="48"/>
      <c r="S35" s="48"/>
      <c r="T35" s="48"/>
      <c r="U35" s="59">
        <f t="shared" ref="U35:U66" si="7">D35*E35*F35*(P35+R35+T35)*7.85/1000/1000</f>
        <v>0</v>
      </c>
      <c r="V35" s="48">
        <f t="shared" si="5"/>
        <v>2</v>
      </c>
      <c r="W35" s="49" t="s">
        <v>303</v>
      </c>
      <c r="X35" s="58">
        <f t="shared" ref="X35:X66" si="8">F35*V35</f>
        <v>15640</v>
      </c>
      <c r="Z35">
        <f t="shared" si="4"/>
        <v>3535.8912</v>
      </c>
      <c r="AA35">
        <f t="shared" ref="AA35:AA66" si="9">I35-U35-Z35</f>
        <v>0</v>
      </c>
    </row>
    <row r="36" ht="16.5" hidden="1" spans="1:27">
      <c r="A36" s="5">
        <v>19</v>
      </c>
      <c r="B36" s="5" t="s">
        <v>31</v>
      </c>
      <c r="C36" s="6" t="s">
        <v>32</v>
      </c>
      <c r="D36" s="6">
        <v>16</v>
      </c>
      <c r="E36" s="49">
        <v>1800</v>
      </c>
      <c r="F36" s="6">
        <v>7870</v>
      </c>
      <c r="G36" s="8" t="s">
        <v>33</v>
      </c>
      <c r="H36" s="5">
        <v>2</v>
      </c>
      <c r="I36" s="9">
        <f t="shared" si="6"/>
        <v>3558.4992</v>
      </c>
      <c r="J36" s="13" t="s">
        <v>36</v>
      </c>
      <c r="K36" s="48" t="s">
        <v>78</v>
      </c>
      <c r="L36" s="48"/>
      <c r="M36" s="49" t="s">
        <v>303</v>
      </c>
      <c r="N36" s="48"/>
      <c r="O36" s="48"/>
      <c r="P36" s="48"/>
      <c r="Q36" s="48"/>
      <c r="R36" s="48"/>
      <c r="S36" s="48"/>
      <c r="T36" s="48"/>
      <c r="U36" s="59">
        <f t="shared" si="7"/>
        <v>0</v>
      </c>
      <c r="V36" s="48">
        <f t="shared" si="5"/>
        <v>2</v>
      </c>
      <c r="W36" s="49" t="s">
        <v>303</v>
      </c>
      <c r="X36" s="58">
        <f t="shared" si="8"/>
        <v>15740</v>
      </c>
      <c r="Z36">
        <f t="shared" si="4"/>
        <v>3558.4992</v>
      </c>
      <c r="AA36">
        <f t="shared" si="9"/>
        <v>0</v>
      </c>
    </row>
    <row r="37" ht="16.5" hidden="1" spans="1:27">
      <c r="A37" s="5">
        <v>14</v>
      </c>
      <c r="B37" s="5" t="s">
        <v>31</v>
      </c>
      <c r="C37" s="6" t="s">
        <v>32</v>
      </c>
      <c r="D37" s="6">
        <v>16</v>
      </c>
      <c r="E37" s="49">
        <v>1800</v>
      </c>
      <c r="F37" s="6">
        <v>7890</v>
      </c>
      <c r="G37" s="8" t="s">
        <v>33</v>
      </c>
      <c r="H37" s="5">
        <v>1</v>
      </c>
      <c r="I37" s="9">
        <f t="shared" si="6"/>
        <v>1783.7712</v>
      </c>
      <c r="J37" s="13" t="s">
        <v>36</v>
      </c>
      <c r="K37" s="48" t="s">
        <v>72</v>
      </c>
      <c r="L37" s="48"/>
      <c r="M37" s="7">
        <v>2</v>
      </c>
      <c r="N37" s="48" t="s">
        <v>307</v>
      </c>
      <c r="O37" s="54" t="s">
        <v>308</v>
      </c>
      <c r="P37" s="33">
        <v>1</v>
      </c>
      <c r="Q37" s="48"/>
      <c r="R37" s="48"/>
      <c r="S37" s="48"/>
      <c r="T37" s="48"/>
      <c r="U37" s="59">
        <f t="shared" si="7"/>
        <v>1783.7712</v>
      </c>
      <c r="V37" s="48">
        <f t="shared" si="5"/>
        <v>0</v>
      </c>
      <c r="W37" s="49" t="s">
        <v>303</v>
      </c>
      <c r="X37" s="58">
        <f t="shared" si="8"/>
        <v>0</v>
      </c>
      <c r="Z37">
        <f t="shared" ref="Z37:Z68" si="10">D37*E37*X37*7.85/1000/1000</f>
        <v>0</v>
      </c>
      <c r="AA37">
        <f t="shared" si="9"/>
        <v>0</v>
      </c>
    </row>
    <row r="38" ht="16.5" hidden="1" spans="1:27">
      <c r="A38" s="5">
        <v>15</v>
      </c>
      <c r="B38" s="5" t="s">
        <v>31</v>
      </c>
      <c r="C38" s="6" t="s">
        <v>32</v>
      </c>
      <c r="D38" s="6">
        <v>16</v>
      </c>
      <c r="E38" s="49">
        <v>1800</v>
      </c>
      <c r="F38" s="6">
        <v>7890</v>
      </c>
      <c r="G38" s="8" t="s">
        <v>33</v>
      </c>
      <c r="H38" s="5">
        <v>1</v>
      </c>
      <c r="I38" s="9">
        <f t="shared" si="6"/>
        <v>1783.7712</v>
      </c>
      <c r="J38" s="13" t="s">
        <v>36</v>
      </c>
      <c r="K38" s="48" t="s">
        <v>78</v>
      </c>
      <c r="L38" s="48"/>
      <c r="M38" s="49" t="s">
        <v>303</v>
      </c>
      <c r="N38" s="48"/>
      <c r="O38" s="48"/>
      <c r="P38" s="48"/>
      <c r="Q38" s="48"/>
      <c r="R38" s="48"/>
      <c r="S38" s="48"/>
      <c r="T38" s="48"/>
      <c r="U38" s="59">
        <f t="shared" si="7"/>
        <v>0</v>
      </c>
      <c r="V38" s="48">
        <f t="shared" si="5"/>
        <v>1</v>
      </c>
      <c r="W38" s="49" t="s">
        <v>303</v>
      </c>
      <c r="X38" s="58">
        <f t="shared" si="8"/>
        <v>7890</v>
      </c>
      <c r="Z38">
        <f t="shared" si="10"/>
        <v>1783.7712</v>
      </c>
      <c r="AA38">
        <f t="shared" si="9"/>
        <v>0</v>
      </c>
    </row>
    <row r="39" ht="16.5" hidden="1" spans="1:27">
      <c r="A39" s="5">
        <v>20</v>
      </c>
      <c r="B39" s="5" t="s">
        <v>31</v>
      </c>
      <c r="C39" s="6" t="s">
        <v>32</v>
      </c>
      <c r="D39" s="6">
        <v>16</v>
      </c>
      <c r="E39" s="20">
        <v>1800</v>
      </c>
      <c r="F39" s="6">
        <v>7960</v>
      </c>
      <c r="G39" s="8" t="s">
        <v>33</v>
      </c>
      <c r="H39" s="5">
        <v>1</v>
      </c>
      <c r="I39" s="9">
        <f t="shared" si="6"/>
        <v>1799.5968</v>
      </c>
      <c r="J39" s="13" t="s">
        <v>36</v>
      </c>
      <c r="K39" s="48" t="s">
        <v>84</v>
      </c>
      <c r="L39" s="48"/>
      <c r="M39" s="49" t="s">
        <v>303</v>
      </c>
      <c r="N39" s="48"/>
      <c r="O39" s="48"/>
      <c r="P39" s="48"/>
      <c r="Q39" s="48"/>
      <c r="R39" s="48"/>
      <c r="S39" s="48"/>
      <c r="T39" s="48"/>
      <c r="U39" s="59">
        <f t="shared" si="7"/>
        <v>0</v>
      </c>
      <c r="V39" s="48">
        <f t="shared" ref="V39:V70" si="11">H39-P39-R39-T39</f>
        <v>1</v>
      </c>
      <c r="W39" s="49" t="s">
        <v>303</v>
      </c>
      <c r="X39" s="58">
        <f t="shared" si="8"/>
        <v>7960</v>
      </c>
      <c r="Z39">
        <f t="shared" si="10"/>
        <v>1799.5968</v>
      </c>
      <c r="AA39">
        <f t="shared" si="9"/>
        <v>0</v>
      </c>
    </row>
    <row r="40" ht="16.5" hidden="1" spans="1:27">
      <c r="A40" s="5">
        <v>13</v>
      </c>
      <c r="B40" s="5" t="s">
        <v>31</v>
      </c>
      <c r="C40" s="6" t="s">
        <v>32</v>
      </c>
      <c r="D40" s="6">
        <v>16</v>
      </c>
      <c r="E40" s="49">
        <v>1800</v>
      </c>
      <c r="F40" s="6">
        <v>8000</v>
      </c>
      <c r="G40" s="8" t="s">
        <v>33</v>
      </c>
      <c r="H40" s="5">
        <v>1</v>
      </c>
      <c r="I40" s="9">
        <f t="shared" si="6"/>
        <v>1808.64</v>
      </c>
      <c r="J40" s="13" t="s">
        <v>35</v>
      </c>
      <c r="K40" s="48" t="s">
        <v>89</v>
      </c>
      <c r="L40" s="48"/>
      <c r="M40" s="49" t="s">
        <v>303</v>
      </c>
      <c r="N40" s="48"/>
      <c r="O40" s="48"/>
      <c r="P40" s="48"/>
      <c r="Q40" s="48"/>
      <c r="R40" s="48"/>
      <c r="S40" s="48"/>
      <c r="T40" s="48"/>
      <c r="U40" s="59">
        <f t="shared" si="7"/>
        <v>0</v>
      </c>
      <c r="V40" s="48">
        <f t="shared" si="11"/>
        <v>1</v>
      </c>
      <c r="W40" s="49" t="s">
        <v>303</v>
      </c>
      <c r="X40" s="58">
        <f t="shared" si="8"/>
        <v>8000</v>
      </c>
      <c r="Z40">
        <f t="shared" si="10"/>
        <v>1808.64</v>
      </c>
      <c r="AA40">
        <f t="shared" si="9"/>
        <v>0</v>
      </c>
    </row>
    <row r="41" ht="16.5" hidden="1" spans="1:27">
      <c r="A41" s="5">
        <v>12</v>
      </c>
      <c r="B41" s="5" t="s">
        <v>31</v>
      </c>
      <c r="C41" s="6" t="s">
        <v>32</v>
      </c>
      <c r="D41" s="6">
        <v>16</v>
      </c>
      <c r="E41" s="49">
        <v>1800</v>
      </c>
      <c r="F41" s="6">
        <v>8020</v>
      </c>
      <c r="G41" s="8" t="s">
        <v>33</v>
      </c>
      <c r="H41" s="5">
        <v>1</v>
      </c>
      <c r="I41" s="9">
        <f t="shared" si="6"/>
        <v>1813.1616</v>
      </c>
      <c r="J41" s="13" t="s">
        <v>36</v>
      </c>
      <c r="K41" s="48" t="s">
        <v>72</v>
      </c>
      <c r="L41" s="48"/>
      <c r="M41" s="7">
        <v>3</v>
      </c>
      <c r="N41" s="48" t="s">
        <v>307</v>
      </c>
      <c r="O41" s="54" t="s">
        <v>309</v>
      </c>
      <c r="P41" s="33">
        <v>1</v>
      </c>
      <c r="Q41" s="48"/>
      <c r="R41" s="48"/>
      <c r="S41" s="48"/>
      <c r="T41" s="48"/>
      <c r="U41" s="59">
        <f t="shared" si="7"/>
        <v>1813.1616</v>
      </c>
      <c r="V41" s="48">
        <f t="shared" si="11"/>
        <v>0</v>
      </c>
      <c r="W41" s="49" t="s">
        <v>303</v>
      </c>
      <c r="X41" s="58">
        <f t="shared" si="8"/>
        <v>0</v>
      </c>
      <c r="Z41">
        <f t="shared" si="10"/>
        <v>0</v>
      </c>
      <c r="AA41">
        <f t="shared" si="9"/>
        <v>0</v>
      </c>
    </row>
    <row r="42" ht="16.5" hidden="1" spans="1:27">
      <c r="A42" s="5">
        <v>18</v>
      </c>
      <c r="B42" s="5" t="s">
        <v>31</v>
      </c>
      <c r="C42" s="6" t="s">
        <v>32</v>
      </c>
      <c r="D42" s="6">
        <v>16</v>
      </c>
      <c r="E42" s="20">
        <v>1800</v>
      </c>
      <c r="F42" s="6">
        <v>8020</v>
      </c>
      <c r="G42" s="8" t="s">
        <v>33</v>
      </c>
      <c r="H42" s="5">
        <v>1</v>
      </c>
      <c r="I42" s="9">
        <f t="shared" si="6"/>
        <v>1813.1616</v>
      </c>
      <c r="J42" s="13" t="s">
        <v>36</v>
      </c>
      <c r="K42" s="48" t="s">
        <v>84</v>
      </c>
      <c r="L42" s="48"/>
      <c r="M42" s="49" t="s">
        <v>303</v>
      </c>
      <c r="N42" s="48"/>
      <c r="O42" s="48"/>
      <c r="P42" s="48"/>
      <c r="Q42" s="48"/>
      <c r="R42" s="48"/>
      <c r="S42" s="48"/>
      <c r="T42" s="48"/>
      <c r="U42" s="59">
        <f t="shared" si="7"/>
        <v>0</v>
      </c>
      <c r="V42" s="48">
        <f t="shared" si="11"/>
        <v>1</v>
      </c>
      <c r="W42" s="49" t="s">
        <v>303</v>
      </c>
      <c r="X42" s="58">
        <f t="shared" si="8"/>
        <v>8020</v>
      </c>
      <c r="Z42">
        <f t="shared" si="10"/>
        <v>1813.1616</v>
      </c>
      <c r="AA42">
        <f t="shared" si="9"/>
        <v>0</v>
      </c>
    </row>
    <row r="43" ht="16.5" hidden="1" spans="1:27">
      <c r="A43" s="5">
        <v>13</v>
      </c>
      <c r="B43" s="5" t="s">
        <v>31</v>
      </c>
      <c r="C43" s="6" t="s">
        <v>32</v>
      </c>
      <c r="D43" s="6">
        <v>16</v>
      </c>
      <c r="E43" s="49">
        <v>1800</v>
      </c>
      <c r="F43" s="6">
        <v>8030</v>
      </c>
      <c r="G43" s="8" t="s">
        <v>33</v>
      </c>
      <c r="H43" s="5">
        <v>1</v>
      </c>
      <c r="I43" s="9">
        <f t="shared" si="6"/>
        <v>1815.4224</v>
      </c>
      <c r="J43" s="13" t="s">
        <v>34</v>
      </c>
      <c r="K43" s="48" t="s">
        <v>72</v>
      </c>
      <c r="L43" s="48"/>
      <c r="M43" s="7">
        <v>14</v>
      </c>
      <c r="N43" s="48" t="s">
        <v>310</v>
      </c>
      <c r="O43" s="54" t="s">
        <v>311</v>
      </c>
      <c r="P43" s="33">
        <v>1</v>
      </c>
      <c r="Q43" s="48"/>
      <c r="R43" s="48"/>
      <c r="S43" s="48"/>
      <c r="T43" s="48"/>
      <c r="U43" s="59">
        <f t="shared" si="7"/>
        <v>1815.4224</v>
      </c>
      <c r="V43" s="48">
        <f t="shared" si="11"/>
        <v>0</v>
      </c>
      <c r="W43" s="49" t="s">
        <v>303</v>
      </c>
      <c r="X43" s="58">
        <f t="shared" si="8"/>
        <v>0</v>
      </c>
      <c r="Z43">
        <f t="shared" si="10"/>
        <v>0</v>
      </c>
      <c r="AA43">
        <f t="shared" si="9"/>
        <v>0</v>
      </c>
    </row>
    <row r="44" ht="16.5" hidden="1" spans="1:27">
      <c r="A44" s="5">
        <v>9</v>
      </c>
      <c r="B44" s="5" t="s">
        <v>31</v>
      </c>
      <c r="C44" s="6" t="s">
        <v>32</v>
      </c>
      <c r="D44" s="6">
        <v>16</v>
      </c>
      <c r="E44" s="49">
        <v>1800</v>
      </c>
      <c r="F44" s="6">
        <v>8030</v>
      </c>
      <c r="G44" s="8" t="s">
        <v>33</v>
      </c>
      <c r="H44" s="5">
        <v>2</v>
      </c>
      <c r="I44" s="9">
        <f t="shared" si="6"/>
        <v>3630.8448</v>
      </c>
      <c r="J44" s="13" t="s">
        <v>36</v>
      </c>
      <c r="K44" s="48" t="s">
        <v>89</v>
      </c>
      <c r="L44" s="48"/>
      <c r="M44" s="49" t="s">
        <v>303</v>
      </c>
      <c r="N44" s="48"/>
      <c r="O44" s="48"/>
      <c r="P44" s="48"/>
      <c r="Q44" s="48"/>
      <c r="R44" s="48"/>
      <c r="S44" s="48"/>
      <c r="T44" s="48"/>
      <c r="U44" s="59">
        <f t="shared" si="7"/>
        <v>0</v>
      </c>
      <c r="V44" s="48">
        <f t="shared" si="11"/>
        <v>2</v>
      </c>
      <c r="W44" s="49" t="s">
        <v>303</v>
      </c>
      <c r="X44" s="58">
        <f t="shared" si="8"/>
        <v>16060</v>
      </c>
      <c r="Z44">
        <f t="shared" si="10"/>
        <v>3630.8448</v>
      </c>
      <c r="AA44">
        <f t="shared" si="9"/>
        <v>0</v>
      </c>
    </row>
    <row r="45" ht="16.5" hidden="1" spans="1:27">
      <c r="A45" s="5">
        <v>15</v>
      </c>
      <c r="B45" s="5" t="s">
        <v>31</v>
      </c>
      <c r="C45" s="6" t="s">
        <v>32</v>
      </c>
      <c r="D45" s="6">
        <v>16</v>
      </c>
      <c r="E45" s="20">
        <v>1800</v>
      </c>
      <c r="F45" s="6">
        <v>8040</v>
      </c>
      <c r="G45" s="8" t="s">
        <v>33</v>
      </c>
      <c r="H45" s="5">
        <v>1</v>
      </c>
      <c r="I45" s="9">
        <f t="shared" si="6"/>
        <v>1817.6832</v>
      </c>
      <c r="J45" s="13" t="s">
        <v>36</v>
      </c>
      <c r="K45" s="48" t="s">
        <v>84</v>
      </c>
      <c r="L45" s="48"/>
      <c r="M45" s="49" t="s">
        <v>303</v>
      </c>
      <c r="N45" s="48"/>
      <c r="O45" s="48"/>
      <c r="P45" s="48"/>
      <c r="Q45" s="48"/>
      <c r="R45" s="48"/>
      <c r="S45" s="48"/>
      <c r="T45" s="48"/>
      <c r="U45" s="59">
        <f t="shared" si="7"/>
        <v>0</v>
      </c>
      <c r="V45" s="48">
        <f t="shared" si="11"/>
        <v>1</v>
      </c>
      <c r="W45" s="49" t="s">
        <v>303</v>
      </c>
      <c r="X45" s="58">
        <f t="shared" si="8"/>
        <v>8040</v>
      </c>
      <c r="Z45">
        <f t="shared" si="10"/>
        <v>1817.6832</v>
      </c>
      <c r="AA45">
        <f t="shared" si="9"/>
        <v>0</v>
      </c>
    </row>
    <row r="46" ht="16.5" hidden="1" spans="1:27">
      <c r="A46" s="5">
        <v>20</v>
      </c>
      <c r="B46" s="5" t="s">
        <v>31</v>
      </c>
      <c r="C46" s="6" t="s">
        <v>32</v>
      </c>
      <c r="D46" s="6">
        <v>16</v>
      </c>
      <c r="E46" s="49">
        <v>1800</v>
      </c>
      <c r="F46" s="6">
        <v>8050</v>
      </c>
      <c r="G46" s="8" t="s">
        <v>33</v>
      </c>
      <c r="H46" s="5">
        <v>2</v>
      </c>
      <c r="I46" s="9">
        <f t="shared" si="6"/>
        <v>3639.888</v>
      </c>
      <c r="J46" s="13" t="s">
        <v>34</v>
      </c>
      <c r="K46" s="48" t="s">
        <v>78</v>
      </c>
      <c r="L46" s="48"/>
      <c r="M46" s="49" t="s">
        <v>303</v>
      </c>
      <c r="N46" s="48"/>
      <c r="O46" s="48"/>
      <c r="P46" s="48"/>
      <c r="Q46" s="48"/>
      <c r="R46" s="48"/>
      <c r="S46" s="48"/>
      <c r="T46" s="48"/>
      <c r="U46" s="59">
        <f t="shared" si="7"/>
        <v>0</v>
      </c>
      <c r="V46" s="48">
        <f t="shared" si="11"/>
        <v>2</v>
      </c>
      <c r="W46" s="49" t="s">
        <v>303</v>
      </c>
      <c r="X46" s="58">
        <f t="shared" si="8"/>
        <v>16100</v>
      </c>
      <c r="Z46">
        <f t="shared" si="10"/>
        <v>3639.888</v>
      </c>
      <c r="AA46">
        <f t="shared" si="9"/>
        <v>0</v>
      </c>
    </row>
    <row r="47" ht="16.5" hidden="1" spans="1:27">
      <c r="A47" s="5">
        <v>17</v>
      </c>
      <c r="B47" s="5" t="s">
        <v>31</v>
      </c>
      <c r="C47" s="6" t="s">
        <v>32</v>
      </c>
      <c r="D47" s="6">
        <v>16</v>
      </c>
      <c r="E47" s="49">
        <v>1800</v>
      </c>
      <c r="F47" s="6">
        <v>8060</v>
      </c>
      <c r="G47" s="8" t="s">
        <v>33</v>
      </c>
      <c r="H47" s="5">
        <v>1</v>
      </c>
      <c r="I47" s="9">
        <f t="shared" si="6"/>
        <v>1822.2048</v>
      </c>
      <c r="J47" s="13" t="s">
        <v>34</v>
      </c>
      <c r="K47" s="48" t="s">
        <v>72</v>
      </c>
      <c r="L47" s="48"/>
      <c r="M47" s="56">
        <v>6</v>
      </c>
      <c r="N47" s="48" t="s">
        <v>307</v>
      </c>
      <c r="O47" s="54" t="s">
        <v>312</v>
      </c>
      <c r="P47" s="33">
        <v>1</v>
      </c>
      <c r="Q47" s="48"/>
      <c r="R47" s="48"/>
      <c r="S47" s="48"/>
      <c r="T47" s="48"/>
      <c r="U47" s="59">
        <f t="shared" si="7"/>
        <v>1822.2048</v>
      </c>
      <c r="V47" s="48">
        <f t="shared" si="11"/>
        <v>0</v>
      </c>
      <c r="W47" s="49" t="s">
        <v>303</v>
      </c>
      <c r="X47" s="58">
        <f t="shared" si="8"/>
        <v>0</v>
      </c>
      <c r="Z47">
        <f t="shared" si="10"/>
        <v>0</v>
      </c>
      <c r="AA47">
        <f t="shared" si="9"/>
        <v>0</v>
      </c>
    </row>
    <row r="48" ht="16.5" hidden="1" spans="1:27">
      <c r="A48" s="5">
        <v>31</v>
      </c>
      <c r="B48" s="5" t="s">
        <v>31</v>
      </c>
      <c r="C48" s="6" t="s">
        <v>32</v>
      </c>
      <c r="D48" s="6">
        <v>16</v>
      </c>
      <c r="E48" s="20">
        <v>1800</v>
      </c>
      <c r="F48" s="6">
        <v>8060</v>
      </c>
      <c r="G48" s="8" t="s">
        <v>33</v>
      </c>
      <c r="H48" s="5">
        <v>1</v>
      </c>
      <c r="I48" s="9">
        <f t="shared" si="6"/>
        <v>1822.2048</v>
      </c>
      <c r="J48" s="13" t="s">
        <v>34</v>
      </c>
      <c r="K48" s="48" t="s">
        <v>84</v>
      </c>
      <c r="L48" s="48"/>
      <c r="M48" s="49" t="s">
        <v>303</v>
      </c>
      <c r="N48" s="48"/>
      <c r="O48" s="48"/>
      <c r="P48" s="48"/>
      <c r="Q48" s="48"/>
      <c r="R48" s="48"/>
      <c r="S48" s="48"/>
      <c r="T48" s="48"/>
      <c r="U48" s="59">
        <f t="shared" si="7"/>
        <v>0</v>
      </c>
      <c r="V48" s="48">
        <f t="shared" si="11"/>
        <v>1</v>
      </c>
      <c r="W48" s="49" t="s">
        <v>303</v>
      </c>
      <c r="X48" s="58">
        <f t="shared" si="8"/>
        <v>8060</v>
      </c>
      <c r="Z48">
        <f t="shared" si="10"/>
        <v>1822.2048</v>
      </c>
      <c r="AA48">
        <f t="shared" si="9"/>
        <v>0</v>
      </c>
    </row>
    <row r="49" ht="16.5" hidden="1" spans="1:27">
      <c r="A49" s="5">
        <v>11</v>
      </c>
      <c r="B49" s="5" t="s">
        <v>31</v>
      </c>
      <c r="C49" s="6" t="s">
        <v>32</v>
      </c>
      <c r="D49" s="6">
        <v>16</v>
      </c>
      <c r="E49" s="49">
        <v>1800</v>
      </c>
      <c r="F49" s="6">
        <v>8070</v>
      </c>
      <c r="G49" s="8" t="s">
        <v>33</v>
      </c>
      <c r="H49" s="5">
        <v>1</v>
      </c>
      <c r="I49" s="9">
        <f t="shared" si="6"/>
        <v>1824.4656</v>
      </c>
      <c r="J49" s="13" t="s">
        <v>36</v>
      </c>
      <c r="K49" s="48" t="s">
        <v>72</v>
      </c>
      <c r="L49" s="48"/>
      <c r="M49" s="7">
        <v>6</v>
      </c>
      <c r="N49" s="48" t="s">
        <v>307</v>
      </c>
      <c r="O49" s="54" t="s">
        <v>313</v>
      </c>
      <c r="P49" s="33">
        <v>1</v>
      </c>
      <c r="Q49" s="48"/>
      <c r="R49" s="48"/>
      <c r="S49" s="48"/>
      <c r="T49" s="48"/>
      <c r="U49" s="59">
        <f t="shared" si="7"/>
        <v>1824.4656</v>
      </c>
      <c r="V49" s="48">
        <f t="shared" si="11"/>
        <v>0</v>
      </c>
      <c r="W49" s="49" t="s">
        <v>303</v>
      </c>
      <c r="X49" s="58">
        <f t="shared" si="8"/>
        <v>0</v>
      </c>
      <c r="Z49">
        <f t="shared" si="10"/>
        <v>0</v>
      </c>
      <c r="AA49">
        <f t="shared" si="9"/>
        <v>0</v>
      </c>
    </row>
    <row r="50" ht="16.5" hidden="1" spans="1:27">
      <c r="A50" s="5">
        <v>18</v>
      </c>
      <c r="B50" s="5" t="s">
        <v>31</v>
      </c>
      <c r="C50" s="6" t="s">
        <v>32</v>
      </c>
      <c r="D50" s="6">
        <v>16</v>
      </c>
      <c r="E50" s="49">
        <v>1800</v>
      </c>
      <c r="F50" s="6">
        <v>8070</v>
      </c>
      <c r="G50" s="8" t="s">
        <v>33</v>
      </c>
      <c r="H50" s="5">
        <v>1</v>
      </c>
      <c r="I50" s="9">
        <f t="shared" si="6"/>
        <v>1824.4656</v>
      </c>
      <c r="J50" s="13" t="s">
        <v>34</v>
      </c>
      <c r="K50" s="48" t="s">
        <v>72</v>
      </c>
      <c r="L50" s="48"/>
      <c r="M50" s="7">
        <v>13</v>
      </c>
      <c r="N50" s="48" t="s">
        <v>310</v>
      </c>
      <c r="O50" s="54" t="s">
        <v>314</v>
      </c>
      <c r="P50" s="33">
        <v>1</v>
      </c>
      <c r="Q50" s="48"/>
      <c r="R50" s="48"/>
      <c r="S50" s="48"/>
      <c r="T50" s="48"/>
      <c r="U50" s="59">
        <f t="shared" si="7"/>
        <v>1824.4656</v>
      </c>
      <c r="V50" s="48">
        <f t="shared" si="11"/>
        <v>0</v>
      </c>
      <c r="W50" s="49" t="s">
        <v>303</v>
      </c>
      <c r="X50" s="58">
        <f t="shared" si="8"/>
        <v>0</v>
      </c>
      <c r="Z50">
        <f t="shared" si="10"/>
        <v>0</v>
      </c>
      <c r="AA50">
        <f t="shared" si="9"/>
        <v>0</v>
      </c>
    </row>
    <row r="51" ht="16.5" hidden="1" spans="1:27">
      <c r="A51" s="5">
        <v>21</v>
      </c>
      <c r="B51" s="5" t="s">
        <v>31</v>
      </c>
      <c r="C51" s="6" t="s">
        <v>32</v>
      </c>
      <c r="D51" s="6">
        <v>16</v>
      </c>
      <c r="E51" s="49">
        <v>1800</v>
      </c>
      <c r="F51" s="6">
        <v>8070</v>
      </c>
      <c r="G51" s="8" t="s">
        <v>33</v>
      </c>
      <c r="H51" s="5">
        <v>9</v>
      </c>
      <c r="I51" s="9">
        <f t="shared" si="6"/>
        <v>16420.1904</v>
      </c>
      <c r="J51" s="13" t="s">
        <v>34</v>
      </c>
      <c r="K51" s="48" t="s">
        <v>78</v>
      </c>
      <c r="L51" s="48"/>
      <c r="M51" s="49" t="s">
        <v>303</v>
      </c>
      <c r="N51" s="48"/>
      <c r="O51" s="48"/>
      <c r="P51" s="48"/>
      <c r="Q51" s="48"/>
      <c r="R51" s="48"/>
      <c r="S51" s="48"/>
      <c r="T51" s="48"/>
      <c r="U51" s="59">
        <f t="shared" si="7"/>
        <v>0</v>
      </c>
      <c r="V51" s="48">
        <f t="shared" si="11"/>
        <v>9</v>
      </c>
      <c r="W51" s="49" t="s">
        <v>303</v>
      </c>
      <c r="X51" s="58">
        <f t="shared" si="8"/>
        <v>72630</v>
      </c>
      <c r="Z51">
        <f t="shared" si="10"/>
        <v>16420.1904</v>
      </c>
      <c r="AA51">
        <f t="shared" si="9"/>
        <v>0</v>
      </c>
    </row>
    <row r="52" ht="16.5" hidden="1" spans="1:27">
      <c r="A52" s="5">
        <v>19</v>
      </c>
      <c r="B52" s="5" t="s">
        <v>31</v>
      </c>
      <c r="C52" s="6" t="s">
        <v>32</v>
      </c>
      <c r="D52" s="6">
        <v>16</v>
      </c>
      <c r="E52" s="49">
        <v>1800</v>
      </c>
      <c r="F52" s="6">
        <v>8080</v>
      </c>
      <c r="G52" s="8" t="s">
        <v>33</v>
      </c>
      <c r="H52" s="5">
        <v>1</v>
      </c>
      <c r="I52" s="9">
        <f t="shared" si="6"/>
        <v>1826.7264</v>
      </c>
      <c r="J52" s="13" t="s">
        <v>34</v>
      </c>
      <c r="K52" s="48" t="s">
        <v>72</v>
      </c>
      <c r="L52" s="48"/>
      <c r="M52" s="49" t="s">
        <v>303</v>
      </c>
      <c r="N52" s="48"/>
      <c r="O52" s="48"/>
      <c r="P52" s="48"/>
      <c r="Q52" s="48"/>
      <c r="R52" s="48"/>
      <c r="S52" s="48"/>
      <c r="T52" s="48"/>
      <c r="U52" s="59">
        <f t="shared" si="7"/>
        <v>0</v>
      </c>
      <c r="V52" s="48">
        <f t="shared" si="11"/>
        <v>1</v>
      </c>
      <c r="W52" s="49" t="s">
        <v>303</v>
      </c>
      <c r="X52" s="58">
        <f t="shared" si="8"/>
        <v>8080</v>
      </c>
      <c r="Z52">
        <f t="shared" si="10"/>
        <v>1826.7264</v>
      </c>
      <c r="AA52">
        <f t="shared" si="9"/>
        <v>0</v>
      </c>
    </row>
    <row r="53" ht="16.5" hidden="1" spans="1:27">
      <c r="A53" s="5">
        <v>5</v>
      </c>
      <c r="B53" s="5" t="s">
        <v>31</v>
      </c>
      <c r="C53" s="6" t="s">
        <v>32</v>
      </c>
      <c r="D53" s="6">
        <v>16</v>
      </c>
      <c r="E53" s="49">
        <v>1800</v>
      </c>
      <c r="F53" s="6">
        <v>8080</v>
      </c>
      <c r="G53" s="8" t="s">
        <v>33</v>
      </c>
      <c r="H53" s="5">
        <v>1</v>
      </c>
      <c r="I53" s="9">
        <f t="shared" si="6"/>
        <v>1826.7264</v>
      </c>
      <c r="J53" s="13" t="s">
        <v>34</v>
      </c>
      <c r="K53" s="48" t="s">
        <v>78</v>
      </c>
      <c r="L53" s="48"/>
      <c r="M53" s="49" t="s">
        <v>303</v>
      </c>
      <c r="N53" s="48"/>
      <c r="O53" s="48"/>
      <c r="P53" s="48"/>
      <c r="Q53" s="48"/>
      <c r="R53" s="48"/>
      <c r="S53" s="48"/>
      <c r="T53" s="48"/>
      <c r="U53" s="59">
        <f t="shared" si="7"/>
        <v>0</v>
      </c>
      <c r="V53" s="48">
        <f t="shared" si="11"/>
        <v>1</v>
      </c>
      <c r="W53" s="49" t="s">
        <v>303</v>
      </c>
      <c r="X53" s="58">
        <f t="shared" si="8"/>
        <v>8080</v>
      </c>
      <c r="Z53">
        <f t="shared" si="10"/>
        <v>1826.7264</v>
      </c>
      <c r="AA53">
        <f t="shared" si="9"/>
        <v>0</v>
      </c>
    </row>
    <row r="54" ht="16.5" hidden="1" spans="1:27">
      <c r="A54" s="5">
        <v>22</v>
      </c>
      <c r="B54" s="5" t="s">
        <v>31</v>
      </c>
      <c r="C54" s="6" t="s">
        <v>32</v>
      </c>
      <c r="D54" s="6">
        <v>16</v>
      </c>
      <c r="E54" s="49">
        <v>1800</v>
      </c>
      <c r="F54" s="6">
        <v>8080</v>
      </c>
      <c r="G54" s="8" t="s">
        <v>33</v>
      </c>
      <c r="H54" s="5">
        <v>1</v>
      </c>
      <c r="I54" s="9">
        <f t="shared" si="6"/>
        <v>1826.7264</v>
      </c>
      <c r="J54" s="13" t="s">
        <v>34</v>
      </c>
      <c r="K54" s="48" t="s">
        <v>78</v>
      </c>
      <c r="L54" s="48"/>
      <c r="M54" s="49" t="s">
        <v>303</v>
      </c>
      <c r="N54" s="48"/>
      <c r="O54" s="48"/>
      <c r="P54" s="48"/>
      <c r="Q54" s="48"/>
      <c r="R54" s="48"/>
      <c r="S54" s="48"/>
      <c r="T54" s="48"/>
      <c r="U54" s="59">
        <f t="shared" si="7"/>
        <v>0</v>
      </c>
      <c r="V54" s="48">
        <f t="shared" si="11"/>
        <v>1</v>
      </c>
      <c r="W54" s="49" t="s">
        <v>303</v>
      </c>
      <c r="X54" s="58">
        <f t="shared" si="8"/>
        <v>8080</v>
      </c>
      <c r="Z54">
        <f t="shared" si="10"/>
        <v>1826.7264</v>
      </c>
      <c r="AA54">
        <f t="shared" si="9"/>
        <v>0</v>
      </c>
    </row>
    <row r="55" ht="16.5" hidden="1" spans="1:27">
      <c r="A55" s="5">
        <v>23</v>
      </c>
      <c r="B55" s="5" t="s">
        <v>31</v>
      </c>
      <c r="C55" s="6" t="s">
        <v>32</v>
      </c>
      <c r="D55" s="6">
        <v>16</v>
      </c>
      <c r="E55" s="49">
        <v>1800</v>
      </c>
      <c r="F55" s="6">
        <v>8090</v>
      </c>
      <c r="G55" s="8" t="s">
        <v>33</v>
      </c>
      <c r="H55" s="5">
        <v>1</v>
      </c>
      <c r="I55" s="9">
        <f t="shared" si="6"/>
        <v>1828.9872</v>
      </c>
      <c r="J55" s="13" t="s">
        <v>34</v>
      </c>
      <c r="K55" s="48" t="s">
        <v>78</v>
      </c>
      <c r="L55" s="48"/>
      <c r="M55" s="49" t="s">
        <v>303</v>
      </c>
      <c r="N55" s="48"/>
      <c r="O55" s="48"/>
      <c r="P55" s="48"/>
      <c r="Q55" s="48"/>
      <c r="R55" s="48"/>
      <c r="S55" s="48"/>
      <c r="T55" s="48"/>
      <c r="U55" s="59">
        <f t="shared" si="7"/>
        <v>0</v>
      </c>
      <c r="V55" s="48">
        <f t="shared" si="11"/>
        <v>1</v>
      </c>
      <c r="W55" s="49" t="s">
        <v>303</v>
      </c>
      <c r="X55" s="58">
        <f t="shared" si="8"/>
        <v>8090</v>
      </c>
      <c r="Z55">
        <f t="shared" si="10"/>
        <v>1828.9872</v>
      </c>
      <c r="AA55">
        <f t="shared" si="9"/>
        <v>0</v>
      </c>
    </row>
    <row r="56" ht="16.5" hidden="1" spans="1:27">
      <c r="A56" s="5">
        <v>16</v>
      </c>
      <c r="B56" s="5" t="s">
        <v>31</v>
      </c>
      <c r="C56" s="6" t="s">
        <v>32</v>
      </c>
      <c r="D56" s="6">
        <v>16</v>
      </c>
      <c r="E56" s="20">
        <v>1800</v>
      </c>
      <c r="F56" s="6">
        <v>8090</v>
      </c>
      <c r="G56" s="8" t="s">
        <v>33</v>
      </c>
      <c r="H56" s="5">
        <v>1</v>
      </c>
      <c r="I56" s="9">
        <f t="shared" si="6"/>
        <v>1828.9872</v>
      </c>
      <c r="J56" s="13" t="s">
        <v>36</v>
      </c>
      <c r="K56" s="48" t="s">
        <v>84</v>
      </c>
      <c r="L56" s="48"/>
      <c r="M56" s="49" t="s">
        <v>303</v>
      </c>
      <c r="N56" s="48"/>
      <c r="O56" s="48"/>
      <c r="P56" s="48"/>
      <c r="Q56" s="48"/>
      <c r="R56" s="48"/>
      <c r="S56" s="48"/>
      <c r="T56" s="48"/>
      <c r="U56" s="59">
        <f t="shared" si="7"/>
        <v>0</v>
      </c>
      <c r="V56" s="48">
        <f t="shared" si="11"/>
        <v>1</v>
      </c>
      <c r="W56" s="49" t="s">
        <v>303</v>
      </c>
      <c r="X56" s="58">
        <f t="shared" si="8"/>
        <v>8090</v>
      </c>
      <c r="Z56">
        <f t="shared" si="10"/>
        <v>1828.9872</v>
      </c>
      <c r="AA56">
        <f t="shared" si="9"/>
        <v>0</v>
      </c>
    </row>
    <row r="57" ht="16.5" hidden="1" spans="1:27">
      <c r="A57" s="5">
        <v>20</v>
      </c>
      <c r="B57" s="5" t="s">
        <v>31</v>
      </c>
      <c r="C57" s="6" t="s">
        <v>32</v>
      </c>
      <c r="D57" s="6">
        <v>16</v>
      </c>
      <c r="E57" s="49">
        <v>1800</v>
      </c>
      <c r="F57" s="6">
        <v>8100</v>
      </c>
      <c r="G57" s="8" t="s">
        <v>33</v>
      </c>
      <c r="H57" s="5">
        <v>1</v>
      </c>
      <c r="I57" s="9">
        <f t="shared" si="6"/>
        <v>1831.248</v>
      </c>
      <c r="J57" s="13" t="s">
        <v>34</v>
      </c>
      <c r="K57" s="48" t="s">
        <v>72</v>
      </c>
      <c r="L57" s="48"/>
      <c r="M57" s="49" t="s">
        <v>303</v>
      </c>
      <c r="N57" s="48"/>
      <c r="O57" s="48"/>
      <c r="P57" s="48"/>
      <c r="Q57" s="48"/>
      <c r="R57" s="48"/>
      <c r="S57" s="48"/>
      <c r="T57" s="48"/>
      <c r="U57" s="59">
        <f t="shared" si="7"/>
        <v>0</v>
      </c>
      <c r="V57" s="48">
        <f t="shared" si="11"/>
        <v>1</v>
      </c>
      <c r="W57" s="49" t="s">
        <v>303</v>
      </c>
      <c r="X57" s="58">
        <f t="shared" si="8"/>
        <v>8100</v>
      </c>
      <c r="Z57">
        <f t="shared" si="10"/>
        <v>1831.248</v>
      </c>
      <c r="AA57">
        <f t="shared" si="9"/>
        <v>0</v>
      </c>
    </row>
    <row r="58" ht="16.5" hidden="1" spans="1:27">
      <c r="A58" s="5">
        <v>7</v>
      </c>
      <c r="B58" s="5" t="s">
        <v>31</v>
      </c>
      <c r="C58" s="6" t="s">
        <v>32</v>
      </c>
      <c r="D58" s="6">
        <v>16</v>
      </c>
      <c r="E58" s="49">
        <v>1800</v>
      </c>
      <c r="F58" s="6">
        <v>8130</v>
      </c>
      <c r="G58" s="8" t="s">
        <v>33</v>
      </c>
      <c r="H58" s="5">
        <v>1</v>
      </c>
      <c r="I58" s="9">
        <f t="shared" si="6"/>
        <v>1838.0304</v>
      </c>
      <c r="J58" s="13" t="s">
        <v>34</v>
      </c>
      <c r="K58" s="48" t="s">
        <v>72</v>
      </c>
      <c r="L58" s="48"/>
      <c r="M58" s="49" t="s">
        <v>303</v>
      </c>
      <c r="N58" s="48"/>
      <c r="O58" s="48"/>
      <c r="P58" s="48"/>
      <c r="Q58" s="48"/>
      <c r="R58" s="48"/>
      <c r="S58" s="48"/>
      <c r="T58" s="48"/>
      <c r="U58" s="59">
        <f t="shared" si="7"/>
        <v>0</v>
      </c>
      <c r="V58" s="48">
        <f t="shared" si="11"/>
        <v>1</v>
      </c>
      <c r="W58" s="49" t="s">
        <v>303</v>
      </c>
      <c r="X58" s="58">
        <f t="shared" si="8"/>
        <v>8130</v>
      </c>
      <c r="Z58">
        <f t="shared" si="10"/>
        <v>1838.0304</v>
      </c>
      <c r="AA58">
        <f t="shared" si="9"/>
        <v>0</v>
      </c>
    </row>
    <row r="59" ht="16.5" hidden="1" spans="1:27">
      <c r="A59" s="5">
        <v>8</v>
      </c>
      <c r="B59" s="5" t="s">
        <v>31</v>
      </c>
      <c r="C59" s="6" t="s">
        <v>32</v>
      </c>
      <c r="D59" s="6">
        <v>16</v>
      </c>
      <c r="E59" s="49">
        <v>1800</v>
      </c>
      <c r="F59" s="6">
        <v>8130</v>
      </c>
      <c r="G59" s="8" t="s">
        <v>33</v>
      </c>
      <c r="H59" s="5">
        <v>1</v>
      </c>
      <c r="I59" s="9">
        <f t="shared" si="6"/>
        <v>1838.0304</v>
      </c>
      <c r="J59" s="13" t="s">
        <v>34</v>
      </c>
      <c r="K59" s="48" t="s">
        <v>72</v>
      </c>
      <c r="L59" s="48"/>
      <c r="M59" s="49" t="s">
        <v>303</v>
      </c>
      <c r="N59" s="48"/>
      <c r="O59" s="48"/>
      <c r="P59" s="48"/>
      <c r="Q59" s="48"/>
      <c r="R59" s="48"/>
      <c r="S59" s="48"/>
      <c r="T59" s="48"/>
      <c r="U59" s="59">
        <f t="shared" si="7"/>
        <v>0</v>
      </c>
      <c r="V59" s="48">
        <f t="shared" si="11"/>
        <v>1</v>
      </c>
      <c r="W59" s="49" t="s">
        <v>303</v>
      </c>
      <c r="X59" s="58">
        <f t="shared" si="8"/>
        <v>8130</v>
      </c>
      <c r="Z59">
        <f t="shared" si="10"/>
        <v>1838.0304</v>
      </c>
      <c r="AA59">
        <f t="shared" si="9"/>
        <v>0</v>
      </c>
    </row>
    <row r="60" ht="16.5" hidden="1" spans="1:27">
      <c r="A60" s="5">
        <v>21</v>
      </c>
      <c r="B60" s="5" t="s">
        <v>31</v>
      </c>
      <c r="C60" s="6" t="s">
        <v>32</v>
      </c>
      <c r="D60" s="6">
        <v>16</v>
      </c>
      <c r="E60" s="49">
        <v>1800</v>
      </c>
      <c r="F60" s="6">
        <v>8140</v>
      </c>
      <c r="G60" s="8" t="s">
        <v>33</v>
      </c>
      <c r="H60" s="5">
        <v>1</v>
      </c>
      <c r="I60" s="9">
        <f t="shared" si="6"/>
        <v>1840.2912</v>
      </c>
      <c r="J60" s="13" t="s">
        <v>34</v>
      </c>
      <c r="K60" s="48" t="s">
        <v>72</v>
      </c>
      <c r="L60" s="48"/>
      <c r="M60" s="49" t="s">
        <v>303</v>
      </c>
      <c r="N60" s="48"/>
      <c r="O60" s="48"/>
      <c r="P60" s="48"/>
      <c r="Q60" s="48"/>
      <c r="R60" s="48"/>
      <c r="S60" s="48"/>
      <c r="T60" s="48"/>
      <c r="U60" s="59">
        <f t="shared" si="7"/>
        <v>0</v>
      </c>
      <c r="V60" s="48">
        <f t="shared" si="11"/>
        <v>1</v>
      </c>
      <c r="W60" s="49" t="s">
        <v>303</v>
      </c>
      <c r="X60" s="58">
        <f t="shared" si="8"/>
        <v>8140</v>
      </c>
      <c r="Z60">
        <f t="shared" si="10"/>
        <v>1840.2912</v>
      </c>
      <c r="AA60">
        <f t="shared" si="9"/>
        <v>0</v>
      </c>
    </row>
    <row r="61" ht="16.5" hidden="1" spans="1:27">
      <c r="A61" s="5">
        <v>6</v>
      </c>
      <c r="B61" s="5" t="s">
        <v>31</v>
      </c>
      <c r="C61" s="6" t="s">
        <v>32</v>
      </c>
      <c r="D61" s="6">
        <v>16</v>
      </c>
      <c r="E61" s="49">
        <v>1800</v>
      </c>
      <c r="F61" s="6">
        <v>8140</v>
      </c>
      <c r="G61" s="8" t="s">
        <v>33</v>
      </c>
      <c r="H61" s="5">
        <v>2</v>
      </c>
      <c r="I61" s="9">
        <f t="shared" si="6"/>
        <v>3680.5824</v>
      </c>
      <c r="J61" s="13" t="s">
        <v>34</v>
      </c>
      <c r="K61" s="48" t="s">
        <v>78</v>
      </c>
      <c r="L61" s="48"/>
      <c r="M61" s="49" t="s">
        <v>303</v>
      </c>
      <c r="N61" s="48"/>
      <c r="O61" s="48"/>
      <c r="P61" s="48"/>
      <c r="Q61" s="48"/>
      <c r="R61" s="48"/>
      <c r="S61" s="48"/>
      <c r="T61" s="48"/>
      <c r="U61" s="59">
        <f t="shared" si="7"/>
        <v>0</v>
      </c>
      <c r="V61" s="48">
        <f t="shared" si="11"/>
        <v>2</v>
      </c>
      <c r="W61" s="49" t="s">
        <v>303</v>
      </c>
      <c r="X61" s="58">
        <f t="shared" si="8"/>
        <v>16280</v>
      </c>
      <c r="Z61">
        <f t="shared" si="10"/>
        <v>3680.5824</v>
      </c>
      <c r="AA61">
        <f t="shared" si="9"/>
        <v>0</v>
      </c>
    </row>
    <row r="62" ht="16.5" hidden="1" spans="1:27">
      <c r="A62" s="5">
        <v>7</v>
      </c>
      <c r="B62" s="5" t="s">
        <v>31</v>
      </c>
      <c r="C62" s="6" t="s">
        <v>32</v>
      </c>
      <c r="D62" s="6">
        <v>16</v>
      </c>
      <c r="E62" s="49">
        <v>1800</v>
      </c>
      <c r="F62" s="6">
        <v>8150</v>
      </c>
      <c r="G62" s="8" t="s">
        <v>33</v>
      </c>
      <c r="H62" s="5">
        <v>1</v>
      </c>
      <c r="I62" s="9">
        <f t="shared" si="6"/>
        <v>1842.552</v>
      </c>
      <c r="J62" s="13" t="s">
        <v>34</v>
      </c>
      <c r="K62" s="48" t="s">
        <v>78</v>
      </c>
      <c r="L62" s="48"/>
      <c r="M62" s="49" t="s">
        <v>303</v>
      </c>
      <c r="N62" s="48"/>
      <c r="O62" s="48"/>
      <c r="P62" s="48"/>
      <c r="Q62" s="48"/>
      <c r="R62" s="48"/>
      <c r="S62" s="48"/>
      <c r="T62" s="48"/>
      <c r="U62" s="59">
        <f t="shared" si="7"/>
        <v>0</v>
      </c>
      <c r="V62" s="48">
        <f t="shared" si="11"/>
        <v>1</v>
      </c>
      <c r="W62" s="49" t="s">
        <v>303</v>
      </c>
      <c r="X62" s="58">
        <f t="shared" si="8"/>
        <v>8150</v>
      </c>
      <c r="Z62">
        <f t="shared" si="10"/>
        <v>1842.552</v>
      </c>
      <c r="AA62">
        <f t="shared" si="9"/>
        <v>0</v>
      </c>
    </row>
    <row r="63" ht="16.5" hidden="1" spans="1:27">
      <c r="A63" s="5">
        <v>8</v>
      </c>
      <c r="B63" s="5" t="s">
        <v>31</v>
      </c>
      <c r="C63" s="6" t="s">
        <v>32</v>
      </c>
      <c r="D63" s="6">
        <v>16</v>
      </c>
      <c r="E63" s="49">
        <v>1800</v>
      </c>
      <c r="F63" s="6">
        <v>8150</v>
      </c>
      <c r="G63" s="8" t="s">
        <v>33</v>
      </c>
      <c r="H63" s="5">
        <v>1</v>
      </c>
      <c r="I63" s="9">
        <f t="shared" si="6"/>
        <v>1842.552</v>
      </c>
      <c r="J63" s="13" t="s">
        <v>34</v>
      </c>
      <c r="K63" s="48" t="s">
        <v>78</v>
      </c>
      <c r="L63" s="48"/>
      <c r="M63" s="49" t="s">
        <v>303</v>
      </c>
      <c r="N63" s="48"/>
      <c r="O63" s="48"/>
      <c r="P63" s="48"/>
      <c r="Q63" s="48"/>
      <c r="R63" s="48"/>
      <c r="S63" s="48"/>
      <c r="T63" s="48"/>
      <c r="U63" s="59">
        <f t="shared" si="7"/>
        <v>0</v>
      </c>
      <c r="V63" s="48">
        <f t="shared" si="11"/>
        <v>1</v>
      </c>
      <c r="W63" s="49" t="s">
        <v>303</v>
      </c>
      <c r="X63" s="58">
        <f t="shared" si="8"/>
        <v>8150</v>
      </c>
      <c r="Z63">
        <f t="shared" si="10"/>
        <v>1842.552</v>
      </c>
      <c r="AA63">
        <f t="shared" si="9"/>
        <v>0</v>
      </c>
    </row>
    <row r="64" ht="16.5" hidden="1" spans="1:27">
      <c r="A64" s="5">
        <v>19</v>
      </c>
      <c r="B64" s="5" t="s">
        <v>31</v>
      </c>
      <c r="C64" s="6" t="s">
        <v>32</v>
      </c>
      <c r="D64" s="6">
        <v>16</v>
      </c>
      <c r="E64" s="49">
        <v>1800</v>
      </c>
      <c r="F64" s="6">
        <v>8150</v>
      </c>
      <c r="G64" s="8" t="s">
        <v>33</v>
      </c>
      <c r="H64" s="5">
        <v>1</v>
      </c>
      <c r="I64" s="9">
        <f t="shared" si="6"/>
        <v>1842.552</v>
      </c>
      <c r="J64" s="13" t="s">
        <v>34</v>
      </c>
      <c r="K64" s="48" t="s">
        <v>89</v>
      </c>
      <c r="L64" s="48"/>
      <c r="M64" s="49" t="s">
        <v>303</v>
      </c>
      <c r="N64" s="57"/>
      <c r="O64" s="48"/>
      <c r="P64" s="48"/>
      <c r="Q64" s="48"/>
      <c r="R64" s="48"/>
      <c r="S64" s="48"/>
      <c r="T64" s="48"/>
      <c r="U64" s="59">
        <f t="shared" si="7"/>
        <v>0</v>
      </c>
      <c r="V64" s="48">
        <f t="shared" si="11"/>
        <v>1</v>
      </c>
      <c r="W64" s="49" t="s">
        <v>303</v>
      </c>
      <c r="X64" s="58">
        <f t="shared" si="8"/>
        <v>8150</v>
      </c>
      <c r="Z64">
        <f t="shared" si="10"/>
        <v>1842.552</v>
      </c>
      <c r="AA64">
        <f t="shared" si="9"/>
        <v>0</v>
      </c>
    </row>
    <row r="65" ht="16.5" hidden="1" spans="1:27">
      <c r="A65" s="5">
        <v>9</v>
      </c>
      <c r="B65" s="5" t="s">
        <v>31</v>
      </c>
      <c r="C65" s="6" t="s">
        <v>32</v>
      </c>
      <c r="D65" s="6">
        <v>16</v>
      </c>
      <c r="E65" s="49">
        <v>1800</v>
      </c>
      <c r="F65" s="6">
        <v>8160</v>
      </c>
      <c r="G65" s="8" t="s">
        <v>33</v>
      </c>
      <c r="H65" s="5">
        <v>1</v>
      </c>
      <c r="I65" s="9">
        <f t="shared" si="6"/>
        <v>1844.8128</v>
      </c>
      <c r="J65" s="13" t="s">
        <v>34</v>
      </c>
      <c r="K65" s="48" t="s">
        <v>78</v>
      </c>
      <c r="L65" s="48"/>
      <c r="M65" s="49" t="s">
        <v>303</v>
      </c>
      <c r="N65" s="48"/>
      <c r="O65" s="48"/>
      <c r="P65" s="48"/>
      <c r="Q65" s="48"/>
      <c r="R65" s="48"/>
      <c r="S65" s="48"/>
      <c r="T65" s="48"/>
      <c r="U65" s="59">
        <f t="shared" si="7"/>
        <v>0</v>
      </c>
      <c r="V65" s="48">
        <f t="shared" si="11"/>
        <v>1</v>
      </c>
      <c r="W65" s="49" t="s">
        <v>303</v>
      </c>
      <c r="X65" s="58">
        <f t="shared" si="8"/>
        <v>8160</v>
      </c>
      <c r="Z65">
        <f t="shared" si="10"/>
        <v>1844.8128</v>
      </c>
      <c r="AA65">
        <f t="shared" si="9"/>
        <v>0</v>
      </c>
    </row>
    <row r="66" ht="16.5" hidden="1" spans="1:27">
      <c r="A66" s="5">
        <v>23</v>
      </c>
      <c r="B66" s="5" t="s">
        <v>31</v>
      </c>
      <c r="C66" s="6" t="s">
        <v>32</v>
      </c>
      <c r="D66" s="6">
        <v>16</v>
      </c>
      <c r="E66" s="20">
        <v>1800</v>
      </c>
      <c r="F66" s="6">
        <v>8170</v>
      </c>
      <c r="G66" s="8" t="s">
        <v>33</v>
      </c>
      <c r="H66" s="5">
        <v>1</v>
      </c>
      <c r="I66" s="9">
        <f t="shared" si="6"/>
        <v>1847.0736</v>
      </c>
      <c r="J66" s="13" t="s">
        <v>34</v>
      </c>
      <c r="K66" s="48" t="s">
        <v>84</v>
      </c>
      <c r="L66" s="48"/>
      <c r="M66" s="49" t="s">
        <v>303</v>
      </c>
      <c r="N66" s="48"/>
      <c r="O66" s="48"/>
      <c r="P66" s="48"/>
      <c r="Q66" s="48"/>
      <c r="R66" s="48"/>
      <c r="S66" s="48"/>
      <c r="T66" s="48"/>
      <c r="U66" s="59">
        <f t="shared" si="7"/>
        <v>0</v>
      </c>
      <c r="V66" s="48">
        <f t="shared" si="11"/>
        <v>1</v>
      </c>
      <c r="W66" s="49" t="s">
        <v>303</v>
      </c>
      <c r="X66" s="58">
        <f t="shared" si="8"/>
        <v>8170</v>
      </c>
      <c r="Z66">
        <f t="shared" si="10"/>
        <v>1847.0736</v>
      </c>
      <c r="AA66">
        <f t="shared" si="9"/>
        <v>0</v>
      </c>
    </row>
    <row r="67" ht="16.5" hidden="1" spans="1:27">
      <c r="A67" s="5">
        <v>24</v>
      </c>
      <c r="B67" s="5" t="s">
        <v>31</v>
      </c>
      <c r="C67" s="6" t="s">
        <v>32</v>
      </c>
      <c r="D67" s="6">
        <v>16</v>
      </c>
      <c r="E67" s="49">
        <v>1800</v>
      </c>
      <c r="F67" s="6">
        <v>8190</v>
      </c>
      <c r="G67" s="8" t="s">
        <v>33</v>
      </c>
      <c r="H67" s="5">
        <v>1</v>
      </c>
      <c r="I67" s="9">
        <f t="shared" ref="I67:I98" si="12">E67*H67*F67*D67*7.85/1000000</f>
        <v>1851.5952</v>
      </c>
      <c r="J67" s="13" t="s">
        <v>36</v>
      </c>
      <c r="K67" s="48" t="s">
        <v>78</v>
      </c>
      <c r="L67" s="48"/>
      <c r="M67" s="49" t="s">
        <v>303</v>
      </c>
      <c r="N67" s="48"/>
      <c r="O67" s="48"/>
      <c r="P67" s="48"/>
      <c r="Q67" s="48"/>
      <c r="R67" s="48"/>
      <c r="S67" s="48"/>
      <c r="T67" s="48"/>
      <c r="U67" s="59">
        <f t="shared" ref="U67:U98" si="13">D67*E67*F67*(P67+R67+T67)*7.85/1000/1000</f>
        <v>0</v>
      </c>
      <c r="V67" s="48">
        <f t="shared" si="11"/>
        <v>1</v>
      </c>
      <c r="W67" s="49" t="s">
        <v>303</v>
      </c>
      <c r="X67" s="58">
        <f t="shared" ref="X67:X98" si="14">F67*V67</f>
        <v>8190</v>
      </c>
      <c r="Z67">
        <f t="shared" si="10"/>
        <v>1851.5952</v>
      </c>
      <c r="AA67">
        <f t="shared" ref="AA67:AA98" si="15">I67-U67-Z67</f>
        <v>0</v>
      </c>
    </row>
    <row r="68" ht="16.5" hidden="1" spans="1:27">
      <c r="A68" s="5">
        <v>20</v>
      </c>
      <c r="B68" s="5" t="s">
        <v>31</v>
      </c>
      <c r="C68" s="6" t="s">
        <v>32</v>
      </c>
      <c r="D68" s="6">
        <v>16</v>
      </c>
      <c r="E68" s="49">
        <v>1800</v>
      </c>
      <c r="F68" s="6">
        <v>8200</v>
      </c>
      <c r="G68" s="8" t="s">
        <v>33</v>
      </c>
      <c r="H68" s="5">
        <v>1</v>
      </c>
      <c r="I68" s="9">
        <f t="shared" si="12"/>
        <v>1853.856</v>
      </c>
      <c r="J68" s="13" t="s">
        <v>34</v>
      </c>
      <c r="K68" s="48" t="s">
        <v>89</v>
      </c>
      <c r="L68" s="48"/>
      <c r="M68" s="49" t="s">
        <v>303</v>
      </c>
      <c r="N68" s="48"/>
      <c r="O68" s="48"/>
      <c r="P68" s="48"/>
      <c r="Q68" s="48"/>
      <c r="R68" s="48"/>
      <c r="S68" s="48"/>
      <c r="T68" s="48"/>
      <c r="U68" s="59">
        <f t="shared" si="13"/>
        <v>0</v>
      </c>
      <c r="V68" s="48">
        <f t="shared" si="11"/>
        <v>1</v>
      </c>
      <c r="W68" s="49" t="s">
        <v>303</v>
      </c>
      <c r="X68" s="58">
        <f t="shared" si="14"/>
        <v>8200</v>
      </c>
      <c r="Z68">
        <f t="shared" si="10"/>
        <v>1853.856</v>
      </c>
      <c r="AA68">
        <f t="shared" si="15"/>
        <v>0</v>
      </c>
    </row>
    <row r="69" ht="16.5" hidden="1" spans="1:27">
      <c r="A69" s="5">
        <v>25</v>
      </c>
      <c r="B69" s="5" t="s">
        <v>31</v>
      </c>
      <c r="C69" s="6" t="s">
        <v>32</v>
      </c>
      <c r="D69" s="6">
        <v>16</v>
      </c>
      <c r="E69" s="49">
        <v>1800</v>
      </c>
      <c r="F69" s="6">
        <v>8220</v>
      </c>
      <c r="G69" s="8" t="s">
        <v>33</v>
      </c>
      <c r="H69" s="5">
        <v>2</v>
      </c>
      <c r="I69" s="9">
        <f t="shared" si="12"/>
        <v>3716.7552</v>
      </c>
      <c r="J69" s="13" t="s">
        <v>36</v>
      </c>
      <c r="K69" s="48" t="s">
        <v>78</v>
      </c>
      <c r="L69" s="48"/>
      <c r="M69" s="49" t="s">
        <v>303</v>
      </c>
      <c r="N69" s="48"/>
      <c r="O69" s="48"/>
      <c r="P69" s="48"/>
      <c r="Q69" s="48"/>
      <c r="R69" s="48"/>
      <c r="S69" s="48"/>
      <c r="T69" s="48"/>
      <c r="U69" s="59">
        <f t="shared" si="13"/>
        <v>0</v>
      </c>
      <c r="V69" s="48">
        <f t="shared" si="11"/>
        <v>2</v>
      </c>
      <c r="W69" s="49" t="s">
        <v>303</v>
      </c>
      <c r="X69" s="58">
        <f t="shared" si="14"/>
        <v>16440</v>
      </c>
      <c r="Z69">
        <f t="shared" ref="Z69:Z100" si="16">D69*E69*X69*7.85/1000/1000</f>
        <v>3716.7552</v>
      </c>
      <c r="AA69">
        <f t="shared" si="15"/>
        <v>0</v>
      </c>
    </row>
    <row r="70" ht="16.5" hidden="1" spans="1:27">
      <c r="A70" s="5">
        <v>22</v>
      </c>
      <c r="B70" s="5" t="s">
        <v>31</v>
      </c>
      <c r="C70" s="6" t="s">
        <v>32</v>
      </c>
      <c r="D70" s="6">
        <v>16</v>
      </c>
      <c r="E70" s="49">
        <v>1800</v>
      </c>
      <c r="F70" s="6">
        <v>8240</v>
      </c>
      <c r="G70" s="8" t="s">
        <v>33</v>
      </c>
      <c r="H70" s="5">
        <v>1</v>
      </c>
      <c r="I70" s="9">
        <f t="shared" si="12"/>
        <v>1862.8992</v>
      </c>
      <c r="J70" s="13" t="s">
        <v>34</v>
      </c>
      <c r="K70" s="48" t="s">
        <v>72</v>
      </c>
      <c r="L70" s="48"/>
      <c r="M70" s="7">
        <v>9</v>
      </c>
      <c r="N70" s="48" t="s">
        <v>307</v>
      </c>
      <c r="O70" s="54" t="s">
        <v>315</v>
      </c>
      <c r="P70" s="33">
        <v>1</v>
      </c>
      <c r="Q70" s="48"/>
      <c r="R70" s="48"/>
      <c r="S70" s="48"/>
      <c r="T70" s="48"/>
      <c r="U70" s="59">
        <f t="shared" si="13"/>
        <v>1862.8992</v>
      </c>
      <c r="V70" s="48">
        <f t="shared" si="11"/>
        <v>0</v>
      </c>
      <c r="W70" s="49" t="s">
        <v>303</v>
      </c>
      <c r="X70" s="58">
        <f t="shared" si="14"/>
        <v>0</v>
      </c>
      <c r="Z70">
        <f t="shared" si="16"/>
        <v>0</v>
      </c>
      <c r="AA70">
        <f t="shared" si="15"/>
        <v>0</v>
      </c>
    </row>
    <row r="71" ht="16.5" hidden="1" spans="1:27">
      <c r="A71" s="5">
        <v>15</v>
      </c>
      <c r="B71" s="5" t="s">
        <v>31</v>
      </c>
      <c r="C71" s="6" t="s">
        <v>32</v>
      </c>
      <c r="D71" s="6">
        <v>16</v>
      </c>
      <c r="E71" s="49">
        <v>1800</v>
      </c>
      <c r="F71" s="6">
        <v>8270</v>
      </c>
      <c r="G71" s="8" t="s">
        <v>33</v>
      </c>
      <c r="H71" s="5">
        <v>1</v>
      </c>
      <c r="I71" s="9">
        <f t="shared" si="12"/>
        <v>1869.6816</v>
      </c>
      <c r="J71" s="13" t="s">
        <v>34</v>
      </c>
      <c r="K71" s="48" t="s">
        <v>89</v>
      </c>
      <c r="L71" s="48"/>
      <c r="M71" s="49" t="s">
        <v>303</v>
      </c>
      <c r="N71" s="48"/>
      <c r="O71" s="48"/>
      <c r="P71" s="48"/>
      <c r="Q71" s="48"/>
      <c r="R71" s="48"/>
      <c r="S71" s="48"/>
      <c r="T71" s="48"/>
      <c r="U71" s="59">
        <f t="shared" si="13"/>
        <v>0</v>
      </c>
      <c r="V71" s="48">
        <f t="shared" ref="V71:V102" si="17">H71-P71-R71-T71</f>
        <v>1</v>
      </c>
      <c r="W71" s="49" t="s">
        <v>303</v>
      </c>
      <c r="X71" s="58">
        <f t="shared" si="14"/>
        <v>8270</v>
      </c>
      <c r="Z71">
        <f t="shared" si="16"/>
        <v>1869.6816</v>
      </c>
      <c r="AA71">
        <f t="shared" si="15"/>
        <v>0</v>
      </c>
    </row>
    <row r="72" ht="16.5" hidden="1" spans="1:27">
      <c r="A72" s="5">
        <v>23</v>
      </c>
      <c r="B72" s="5" t="s">
        <v>31</v>
      </c>
      <c r="C72" s="6" t="s">
        <v>32</v>
      </c>
      <c r="D72" s="6">
        <v>16</v>
      </c>
      <c r="E72" s="49">
        <v>1800</v>
      </c>
      <c r="F72" s="6">
        <v>8360</v>
      </c>
      <c r="G72" s="8" t="s">
        <v>33</v>
      </c>
      <c r="H72" s="5">
        <v>1</v>
      </c>
      <c r="I72" s="9">
        <f t="shared" si="12"/>
        <v>1890.0288</v>
      </c>
      <c r="J72" s="13" t="s">
        <v>34</v>
      </c>
      <c r="K72" s="48" t="s">
        <v>72</v>
      </c>
      <c r="L72" s="48"/>
      <c r="M72" s="56">
        <v>8</v>
      </c>
      <c r="N72" s="48" t="s">
        <v>307</v>
      </c>
      <c r="O72" s="54" t="s">
        <v>316</v>
      </c>
      <c r="P72" s="33">
        <v>1</v>
      </c>
      <c r="Q72" s="48"/>
      <c r="R72" s="48"/>
      <c r="S72" s="48"/>
      <c r="T72" s="48"/>
      <c r="U72" s="59">
        <f t="shared" si="13"/>
        <v>1890.0288</v>
      </c>
      <c r="V72" s="48">
        <f t="shared" si="17"/>
        <v>0</v>
      </c>
      <c r="W72" s="49" t="s">
        <v>303</v>
      </c>
      <c r="X72" s="58">
        <f t="shared" si="14"/>
        <v>0</v>
      </c>
      <c r="Z72">
        <f t="shared" si="16"/>
        <v>0</v>
      </c>
      <c r="AA72">
        <f t="shared" si="15"/>
        <v>0</v>
      </c>
    </row>
    <row r="73" ht="16.5" hidden="1" spans="1:27">
      <c r="A73" s="5">
        <v>24</v>
      </c>
      <c r="B73" s="5" t="s">
        <v>31</v>
      </c>
      <c r="C73" s="6" t="s">
        <v>32</v>
      </c>
      <c r="D73" s="6">
        <v>16</v>
      </c>
      <c r="E73" s="20">
        <v>1800</v>
      </c>
      <c r="F73" s="6">
        <v>8370</v>
      </c>
      <c r="G73" s="8" t="s">
        <v>33</v>
      </c>
      <c r="H73" s="5">
        <v>1</v>
      </c>
      <c r="I73" s="9">
        <f t="shared" si="12"/>
        <v>1892.2896</v>
      </c>
      <c r="J73" s="13" t="s">
        <v>34</v>
      </c>
      <c r="K73" s="48" t="s">
        <v>84</v>
      </c>
      <c r="L73" s="48"/>
      <c r="M73" s="7">
        <v>14</v>
      </c>
      <c r="N73" s="48" t="s">
        <v>310</v>
      </c>
      <c r="O73" s="54" t="s">
        <v>317</v>
      </c>
      <c r="P73" s="33">
        <v>1</v>
      </c>
      <c r="Q73" s="48"/>
      <c r="R73" s="48"/>
      <c r="S73" s="48"/>
      <c r="T73" s="48"/>
      <c r="U73" s="59">
        <f t="shared" si="13"/>
        <v>1892.2896</v>
      </c>
      <c r="V73" s="48">
        <f t="shared" si="17"/>
        <v>0</v>
      </c>
      <c r="W73" s="49" t="s">
        <v>303</v>
      </c>
      <c r="X73" s="58">
        <f t="shared" si="14"/>
        <v>0</v>
      </c>
      <c r="Z73">
        <f t="shared" si="16"/>
        <v>0</v>
      </c>
      <c r="AA73">
        <f t="shared" si="15"/>
        <v>0</v>
      </c>
    </row>
    <row r="74" ht="16.5" hidden="1" spans="1:27">
      <c r="A74" s="5">
        <v>24</v>
      </c>
      <c r="B74" s="5" t="s">
        <v>31</v>
      </c>
      <c r="C74" s="6" t="s">
        <v>32</v>
      </c>
      <c r="D74" s="6">
        <v>16</v>
      </c>
      <c r="E74" s="49">
        <v>1800</v>
      </c>
      <c r="F74" s="6">
        <v>8450</v>
      </c>
      <c r="G74" s="8" t="s">
        <v>33</v>
      </c>
      <c r="H74" s="5">
        <v>1</v>
      </c>
      <c r="I74" s="9">
        <f t="shared" si="12"/>
        <v>1910.376</v>
      </c>
      <c r="J74" s="13" t="s">
        <v>34</v>
      </c>
      <c r="K74" s="48" t="s">
        <v>72</v>
      </c>
      <c r="L74" s="48"/>
      <c r="M74" s="7">
        <v>8</v>
      </c>
      <c r="N74" s="48" t="s">
        <v>307</v>
      </c>
      <c r="O74" s="54" t="s">
        <v>318</v>
      </c>
      <c r="P74" s="33">
        <v>1</v>
      </c>
      <c r="Q74" s="48"/>
      <c r="R74" s="48"/>
      <c r="S74" s="48"/>
      <c r="T74" s="48"/>
      <c r="U74" s="59">
        <f t="shared" si="13"/>
        <v>1910.376</v>
      </c>
      <c r="V74" s="48">
        <f t="shared" si="17"/>
        <v>0</v>
      </c>
      <c r="W74" s="49" t="s">
        <v>303</v>
      </c>
      <c r="X74" s="58">
        <f t="shared" si="14"/>
        <v>0</v>
      </c>
      <c r="Z74">
        <f t="shared" si="16"/>
        <v>0</v>
      </c>
      <c r="AA74">
        <f t="shared" si="15"/>
        <v>0</v>
      </c>
    </row>
    <row r="75" ht="16.5" hidden="1" spans="1:27">
      <c r="A75" s="5">
        <v>19</v>
      </c>
      <c r="B75" s="5" t="s">
        <v>31</v>
      </c>
      <c r="C75" s="6" t="s">
        <v>32</v>
      </c>
      <c r="D75" s="6">
        <v>16</v>
      </c>
      <c r="E75" s="20">
        <v>1800</v>
      </c>
      <c r="F75" s="6">
        <f>(391840+2000)/5/9</f>
        <v>8752</v>
      </c>
      <c r="G75" s="8" t="s">
        <v>33</v>
      </c>
      <c r="H75" s="5">
        <v>9</v>
      </c>
      <c r="I75" s="9">
        <f t="shared" si="12"/>
        <v>17807.86944</v>
      </c>
      <c r="J75" s="13" t="s">
        <v>14</v>
      </c>
      <c r="K75" s="48" t="s">
        <v>84</v>
      </c>
      <c r="L75" s="48"/>
      <c r="M75" s="49" t="s">
        <v>303</v>
      </c>
      <c r="N75" s="48"/>
      <c r="O75" s="48"/>
      <c r="P75" s="48"/>
      <c r="Q75" s="48"/>
      <c r="R75" s="48"/>
      <c r="S75" s="48"/>
      <c r="T75" s="48"/>
      <c r="U75" s="59">
        <f t="shared" si="13"/>
        <v>0</v>
      </c>
      <c r="V75" s="48">
        <f t="shared" si="17"/>
        <v>9</v>
      </c>
      <c r="W75" s="49" t="s">
        <v>303</v>
      </c>
      <c r="X75" s="58">
        <f t="shared" si="14"/>
        <v>78768</v>
      </c>
      <c r="Z75">
        <f t="shared" si="16"/>
        <v>17807.86944</v>
      </c>
      <c r="AA75">
        <f t="shared" si="15"/>
        <v>0</v>
      </c>
    </row>
    <row r="76" ht="16.5" hidden="1" spans="1:27">
      <c r="A76" s="5">
        <v>25</v>
      </c>
      <c r="B76" s="5" t="s">
        <v>31</v>
      </c>
      <c r="C76" s="6" t="s">
        <v>32</v>
      </c>
      <c r="D76" s="6">
        <v>16</v>
      </c>
      <c r="E76" s="49">
        <v>1800</v>
      </c>
      <c r="F76" s="6">
        <v>9070</v>
      </c>
      <c r="G76" s="8" t="s">
        <v>33</v>
      </c>
      <c r="H76" s="5">
        <v>1</v>
      </c>
      <c r="I76" s="9">
        <f t="shared" si="12"/>
        <v>2050.5456</v>
      </c>
      <c r="J76" s="13" t="s">
        <v>34</v>
      </c>
      <c r="K76" s="48" t="s">
        <v>72</v>
      </c>
      <c r="L76" s="48"/>
      <c r="M76" s="7">
        <v>5</v>
      </c>
      <c r="N76" s="48" t="s">
        <v>307</v>
      </c>
      <c r="O76" s="54" t="s">
        <v>319</v>
      </c>
      <c r="P76" s="33">
        <v>1</v>
      </c>
      <c r="Q76" s="48"/>
      <c r="R76" s="48"/>
      <c r="S76" s="48"/>
      <c r="T76" s="48"/>
      <c r="U76" s="59">
        <f t="shared" si="13"/>
        <v>2050.5456</v>
      </c>
      <c r="V76" s="48">
        <f t="shared" si="17"/>
        <v>0</v>
      </c>
      <c r="W76" s="49" t="s">
        <v>303</v>
      </c>
      <c r="X76" s="58">
        <f t="shared" si="14"/>
        <v>0</v>
      </c>
      <c r="Z76">
        <f t="shared" si="16"/>
        <v>0</v>
      </c>
      <c r="AA76">
        <f t="shared" si="15"/>
        <v>0</v>
      </c>
    </row>
    <row r="77" ht="16.5" hidden="1" spans="1:27">
      <c r="A77" s="5">
        <v>26</v>
      </c>
      <c r="B77" s="5" t="s">
        <v>31</v>
      </c>
      <c r="C77" s="6" t="s">
        <v>37</v>
      </c>
      <c r="D77" s="6">
        <v>16</v>
      </c>
      <c r="E77" s="49">
        <v>1800</v>
      </c>
      <c r="F77" s="6">
        <v>9230</v>
      </c>
      <c r="G77" s="8" t="s">
        <v>33</v>
      </c>
      <c r="H77" s="5">
        <v>2</v>
      </c>
      <c r="I77" s="9">
        <f t="shared" si="12"/>
        <v>4173.4368</v>
      </c>
      <c r="J77" s="13" t="s">
        <v>38</v>
      </c>
      <c r="K77" s="48" t="s">
        <v>72</v>
      </c>
      <c r="L77" s="48"/>
      <c r="M77" s="49" t="s">
        <v>303</v>
      </c>
      <c r="N77" s="48"/>
      <c r="O77" s="48"/>
      <c r="P77" s="48"/>
      <c r="Q77" s="48"/>
      <c r="R77" s="48"/>
      <c r="S77" s="48"/>
      <c r="T77" s="48"/>
      <c r="U77" s="59">
        <f t="shared" si="13"/>
        <v>0</v>
      </c>
      <c r="V77" s="48">
        <f t="shared" si="17"/>
        <v>2</v>
      </c>
      <c r="W77" s="49" t="s">
        <v>303</v>
      </c>
      <c r="X77" s="58">
        <f t="shared" si="14"/>
        <v>18460</v>
      </c>
      <c r="Z77">
        <f t="shared" si="16"/>
        <v>4173.4368</v>
      </c>
      <c r="AA77">
        <f t="shared" si="15"/>
        <v>0</v>
      </c>
    </row>
    <row r="78" ht="16.5" hidden="1" spans="1:27">
      <c r="A78" s="5">
        <v>25</v>
      </c>
      <c r="B78" s="5" t="s">
        <v>31</v>
      </c>
      <c r="C78" s="6" t="s">
        <v>32</v>
      </c>
      <c r="D78" s="6">
        <v>16</v>
      </c>
      <c r="E78" s="20">
        <v>1800</v>
      </c>
      <c r="F78" s="6">
        <v>9590</v>
      </c>
      <c r="G78" s="8" t="s">
        <v>33</v>
      </c>
      <c r="H78" s="5">
        <v>1</v>
      </c>
      <c r="I78" s="9">
        <f t="shared" si="12"/>
        <v>2168.1072</v>
      </c>
      <c r="J78" s="13" t="s">
        <v>34</v>
      </c>
      <c r="K78" s="48" t="s">
        <v>84</v>
      </c>
      <c r="L78" s="48"/>
      <c r="M78" s="49" t="s">
        <v>303</v>
      </c>
      <c r="N78" s="48"/>
      <c r="O78" s="48"/>
      <c r="P78" s="48"/>
      <c r="Q78" s="48"/>
      <c r="R78" s="48"/>
      <c r="S78" s="48"/>
      <c r="T78" s="48"/>
      <c r="U78" s="59">
        <f t="shared" si="13"/>
        <v>0</v>
      </c>
      <c r="V78" s="48">
        <f t="shared" si="17"/>
        <v>1</v>
      </c>
      <c r="W78" s="49" t="s">
        <v>303</v>
      </c>
      <c r="X78" s="58">
        <f t="shared" si="14"/>
        <v>9590</v>
      </c>
      <c r="Z78">
        <f t="shared" si="16"/>
        <v>2168.1072</v>
      </c>
      <c r="AA78">
        <f t="shared" si="15"/>
        <v>0</v>
      </c>
    </row>
    <row r="79" ht="16.5" hidden="1" spans="1:27">
      <c r="A79" s="5">
        <v>32</v>
      </c>
      <c r="B79" s="5" t="s">
        <v>31</v>
      </c>
      <c r="C79" s="6" t="s">
        <v>32</v>
      </c>
      <c r="D79" s="6">
        <v>16</v>
      </c>
      <c r="E79" s="20">
        <v>1800</v>
      </c>
      <c r="F79" s="6">
        <v>9690</v>
      </c>
      <c r="G79" s="8" t="s">
        <v>33</v>
      </c>
      <c r="H79" s="5">
        <v>1</v>
      </c>
      <c r="I79" s="9">
        <f t="shared" si="12"/>
        <v>2190.7152</v>
      </c>
      <c r="J79" s="13" t="s">
        <v>11</v>
      </c>
      <c r="K79" s="48" t="s">
        <v>84</v>
      </c>
      <c r="L79" s="48"/>
      <c r="M79" s="49" t="s">
        <v>303</v>
      </c>
      <c r="N79" s="48"/>
      <c r="O79" s="48"/>
      <c r="P79" s="48"/>
      <c r="Q79" s="48"/>
      <c r="R79" s="48"/>
      <c r="S79" s="48"/>
      <c r="T79" s="48"/>
      <c r="U79" s="59">
        <f t="shared" si="13"/>
        <v>0</v>
      </c>
      <c r="V79" s="48">
        <f t="shared" si="17"/>
        <v>1</v>
      </c>
      <c r="W79" s="49" t="s">
        <v>303</v>
      </c>
      <c r="X79" s="58">
        <f t="shared" si="14"/>
        <v>9690</v>
      </c>
      <c r="Z79">
        <f t="shared" si="16"/>
        <v>2190.7152</v>
      </c>
      <c r="AA79">
        <f t="shared" si="15"/>
        <v>0</v>
      </c>
    </row>
    <row r="80" ht="16.5" hidden="1" spans="1:27">
      <c r="A80" s="5">
        <v>16</v>
      </c>
      <c r="B80" s="5" t="s">
        <v>31</v>
      </c>
      <c r="C80" s="6" t="s">
        <v>32</v>
      </c>
      <c r="D80" s="6">
        <v>16</v>
      </c>
      <c r="E80" s="49">
        <v>1800</v>
      </c>
      <c r="F80" s="6">
        <v>9720</v>
      </c>
      <c r="G80" s="8" t="s">
        <v>33</v>
      </c>
      <c r="H80" s="5">
        <v>1</v>
      </c>
      <c r="I80" s="9">
        <f t="shared" si="12"/>
        <v>2197.4976</v>
      </c>
      <c r="J80" s="13" t="s">
        <v>35</v>
      </c>
      <c r="K80" s="48" t="s">
        <v>89</v>
      </c>
      <c r="L80" s="48"/>
      <c r="M80" s="49" t="s">
        <v>303</v>
      </c>
      <c r="N80" s="48"/>
      <c r="O80" s="48"/>
      <c r="P80" s="48"/>
      <c r="Q80" s="48"/>
      <c r="R80" s="48"/>
      <c r="S80" s="48"/>
      <c r="T80" s="48"/>
      <c r="U80" s="59">
        <f t="shared" si="13"/>
        <v>0</v>
      </c>
      <c r="V80" s="48">
        <f t="shared" si="17"/>
        <v>1</v>
      </c>
      <c r="W80" s="49" t="s">
        <v>303</v>
      </c>
      <c r="X80" s="58">
        <f t="shared" si="14"/>
        <v>9720</v>
      </c>
      <c r="Z80">
        <f t="shared" si="16"/>
        <v>2197.4976</v>
      </c>
      <c r="AA80">
        <f t="shared" si="15"/>
        <v>0</v>
      </c>
    </row>
    <row r="81" ht="16.5" hidden="1" spans="1:27">
      <c r="A81" s="5">
        <v>22</v>
      </c>
      <c r="B81" s="5" t="s">
        <v>31</v>
      </c>
      <c r="C81" s="6" t="s">
        <v>32</v>
      </c>
      <c r="D81" s="6">
        <v>16</v>
      </c>
      <c r="E81" s="49">
        <v>1800</v>
      </c>
      <c r="F81" s="6">
        <v>9720</v>
      </c>
      <c r="G81" s="8" t="s">
        <v>33</v>
      </c>
      <c r="H81" s="5">
        <v>1</v>
      </c>
      <c r="I81" s="9">
        <f t="shared" si="12"/>
        <v>2197.4976</v>
      </c>
      <c r="J81" s="13" t="s">
        <v>11</v>
      </c>
      <c r="K81" s="48" t="s">
        <v>89</v>
      </c>
      <c r="L81" s="48"/>
      <c r="M81" s="49" t="s">
        <v>303</v>
      </c>
      <c r="N81" s="48"/>
      <c r="O81" s="48"/>
      <c r="P81" s="48"/>
      <c r="Q81" s="48"/>
      <c r="R81" s="48"/>
      <c r="S81" s="48"/>
      <c r="T81" s="48"/>
      <c r="U81" s="59">
        <f t="shared" si="13"/>
        <v>0</v>
      </c>
      <c r="V81" s="48">
        <f t="shared" si="17"/>
        <v>1</v>
      </c>
      <c r="W81" s="49" t="s">
        <v>303</v>
      </c>
      <c r="X81" s="58">
        <f t="shared" si="14"/>
        <v>9720</v>
      </c>
      <c r="Z81">
        <f t="shared" si="16"/>
        <v>2197.4976</v>
      </c>
      <c r="AA81">
        <f t="shared" si="15"/>
        <v>0</v>
      </c>
    </row>
    <row r="82" ht="16.5" hidden="1" spans="1:27">
      <c r="A82" s="5">
        <v>10</v>
      </c>
      <c r="B82" s="5" t="s">
        <v>31</v>
      </c>
      <c r="C82" s="6" t="s">
        <v>32</v>
      </c>
      <c r="D82" s="6">
        <v>16</v>
      </c>
      <c r="E82" s="49">
        <v>1800</v>
      </c>
      <c r="F82" s="6">
        <v>9800</v>
      </c>
      <c r="G82" s="8" t="s">
        <v>33</v>
      </c>
      <c r="H82" s="5">
        <v>8</v>
      </c>
      <c r="I82" s="9">
        <f t="shared" si="12"/>
        <v>17724.672</v>
      </c>
      <c r="J82" s="13" t="s">
        <v>14</v>
      </c>
      <c r="K82" s="48" t="s">
        <v>72</v>
      </c>
      <c r="L82" s="48"/>
      <c r="M82" s="49" t="s">
        <v>303</v>
      </c>
      <c r="N82" s="48"/>
      <c r="O82" s="48"/>
      <c r="P82" s="48"/>
      <c r="Q82" s="48"/>
      <c r="R82" s="48"/>
      <c r="S82" s="48"/>
      <c r="T82" s="48"/>
      <c r="U82" s="59">
        <f t="shared" si="13"/>
        <v>0</v>
      </c>
      <c r="V82" s="48">
        <f t="shared" si="17"/>
        <v>8</v>
      </c>
      <c r="W82" s="49" t="s">
        <v>303</v>
      </c>
      <c r="X82" s="58">
        <f t="shared" si="14"/>
        <v>78400</v>
      </c>
      <c r="Z82">
        <f t="shared" si="16"/>
        <v>17724.672</v>
      </c>
      <c r="AA82">
        <f t="shared" si="15"/>
        <v>0</v>
      </c>
    </row>
    <row r="83" ht="16.5" hidden="1" spans="1:27">
      <c r="A83" s="5">
        <v>12</v>
      </c>
      <c r="B83" s="5" t="s">
        <v>31</v>
      </c>
      <c r="C83" s="6" t="s">
        <v>32</v>
      </c>
      <c r="D83" s="6">
        <v>16</v>
      </c>
      <c r="E83" s="49">
        <v>1800</v>
      </c>
      <c r="F83" s="50">
        <f>(293440+2000)/5/6</f>
        <v>9848</v>
      </c>
      <c r="G83" s="8" t="s">
        <v>33</v>
      </c>
      <c r="H83" s="5">
        <v>6</v>
      </c>
      <c r="I83" s="9">
        <f t="shared" si="12"/>
        <v>13358.61504</v>
      </c>
      <c r="J83" s="13" t="s">
        <v>14</v>
      </c>
      <c r="K83" s="48" t="s">
        <v>89</v>
      </c>
      <c r="L83" s="48"/>
      <c r="M83" s="49" t="s">
        <v>303</v>
      </c>
      <c r="N83" s="48"/>
      <c r="O83" s="48"/>
      <c r="P83" s="48"/>
      <c r="Q83" s="48"/>
      <c r="R83" s="48"/>
      <c r="S83" s="48"/>
      <c r="T83" s="48"/>
      <c r="U83" s="59">
        <f t="shared" si="13"/>
        <v>0</v>
      </c>
      <c r="V83" s="48">
        <f t="shared" si="17"/>
        <v>6</v>
      </c>
      <c r="W83" s="49" t="s">
        <v>303</v>
      </c>
      <c r="X83" s="58">
        <f t="shared" si="14"/>
        <v>59088</v>
      </c>
      <c r="Z83">
        <f t="shared" si="16"/>
        <v>13358.61504</v>
      </c>
      <c r="AA83">
        <f t="shared" si="15"/>
        <v>0</v>
      </c>
    </row>
    <row r="84" ht="16.5" hidden="1" spans="1:27">
      <c r="A84" s="5">
        <v>10</v>
      </c>
      <c r="B84" s="5" t="s">
        <v>31</v>
      </c>
      <c r="C84" s="6" t="s">
        <v>32</v>
      </c>
      <c r="D84" s="6">
        <v>16</v>
      </c>
      <c r="E84" s="49">
        <v>1800</v>
      </c>
      <c r="F84" s="6">
        <v>9930</v>
      </c>
      <c r="G84" s="8" t="s">
        <v>33</v>
      </c>
      <c r="H84" s="5">
        <v>1</v>
      </c>
      <c r="I84" s="9">
        <f t="shared" si="12"/>
        <v>2244.9744</v>
      </c>
      <c r="J84" s="13" t="s">
        <v>35</v>
      </c>
      <c r="K84" s="48" t="s">
        <v>78</v>
      </c>
      <c r="L84" s="48"/>
      <c r="M84" s="49" t="s">
        <v>303</v>
      </c>
      <c r="N84" s="48"/>
      <c r="O84" s="48"/>
      <c r="P84" s="48"/>
      <c r="Q84" s="48"/>
      <c r="R84" s="48"/>
      <c r="S84" s="48"/>
      <c r="T84" s="48"/>
      <c r="U84" s="59">
        <f t="shared" si="13"/>
        <v>0</v>
      </c>
      <c r="V84" s="48">
        <f t="shared" si="17"/>
        <v>1</v>
      </c>
      <c r="W84" s="49" t="s">
        <v>303</v>
      </c>
      <c r="X84" s="58">
        <f t="shared" si="14"/>
        <v>9930</v>
      </c>
      <c r="Z84">
        <f t="shared" si="16"/>
        <v>2244.9744</v>
      </c>
      <c r="AA84">
        <f t="shared" si="15"/>
        <v>0</v>
      </c>
    </row>
    <row r="85" ht="16.5" hidden="1" spans="1:27">
      <c r="A85" s="5">
        <v>13</v>
      </c>
      <c r="B85" s="5" t="s">
        <v>31</v>
      </c>
      <c r="C85" s="6" t="s">
        <v>32</v>
      </c>
      <c r="D85" s="6">
        <v>16</v>
      </c>
      <c r="E85" s="20">
        <v>1800</v>
      </c>
      <c r="F85" s="6">
        <v>9990</v>
      </c>
      <c r="G85" s="8" t="s">
        <v>33</v>
      </c>
      <c r="H85" s="5">
        <v>1</v>
      </c>
      <c r="I85" s="9">
        <f t="shared" si="12"/>
        <v>2258.5392</v>
      </c>
      <c r="J85" s="13" t="s">
        <v>36</v>
      </c>
      <c r="K85" s="48" t="s">
        <v>84</v>
      </c>
      <c r="L85" s="48"/>
      <c r="M85" s="49" t="s">
        <v>303</v>
      </c>
      <c r="N85" s="48"/>
      <c r="O85" s="48"/>
      <c r="P85" s="48"/>
      <c r="Q85" s="48"/>
      <c r="R85" s="48"/>
      <c r="S85" s="48"/>
      <c r="T85" s="48"/>
      <c r="U85" s="59">
        <f t="shared" si="13"/>
        <v>0</v>
      </c>
      <c r="V85" s="48">
        <f t="shared" si="17"/>
        <v>1</v>
      </c>
      <c r="W85" s="49" t="s">
        <v>303</v>
      </c>
      <c r="X85" s="58">
        <f t="shared" si="14"/>
        <v>9990</v>
      </c>
      <c r="Z85">
        <f t="shared" si="16"/>
        <v>2258.5392</v>
      </c>
      <c r="AA85">
        <f t="shared" si="15"/>
        <v>0</v>
      </c>
    </row>
    <row r="86" ht="16.5" hidden="1" spans="1:27">
      <c r="A86" s="5">
        <v>10</v>
      </c>
      <c r="B86" s="5" t="s">
        <v>31</v>
      </c>
      <c r="C86" s="6" t="s">
        <v>32</v>
      </c>
      <c r="D86" s="6">
        <v>16</v>
      </c>
      <c r="E86" s="49">
        <v>1800</v>
      </c>
      <c r="F86" s="6">
        <v>10020</v>
      </c>
      <c r="G86" s="8" t="s">
        <v>33</v>
      </c>
      <c r="H86" s="5">
        <v>1</v>
      </c>
      <c r="I86" s="9">
        <f t="shared" si="12"/>
        <v>2265.3216</v>
      </c>
      <c r="J86" s="13" t="s">
        <v>36</v>
      </c>
      <c r="K86" s="48" t="s">
        <v>89</v>
      </c>
      <c r="L86" s="48"/>
      <c r="M86" s="49" t="s">
        <v>303</v>
      </c>
      <c r="N86" s="48"/>
      <c r="O86" s="48"/>
      <c r="P86" s="48"/>
      <c r="Q86" s="48"/>
      <c r="R86" s="48"/>
      <c r="S86" s="48"/>
      <c r="T86" s="48"/>
      <c r="U86" s="59">
        <f t="shared" si="13"/>
        <v>0</v>
      </c>
      <c r="V86" s="48">
        <f t="shared" si="17"/>
        <v>1</v>
      </c>
      <c r="W86" s="49" t="s">
        <v>303</v>
      </c>
      <c r="X86" s="58">
        <f t="shared" si="14"/>
        <v>10020</v>
      </c>
      <c r="Z86">
        <f t="shared" si="16"/>
        <v>2265.3216</v>
      </c>
      <c r="AA86">
        <f t="shared" si="15"/>
        <v>0</v>
      </c>
    </row>
    <row r="87" ht="16.5" hidden="1" spans="1:27">
      <c r="A87" s="5">
        <v>26</v>
      </c>
      <c r="B87" s="5" t="s">
        <v>31</v>
      </c>
      <c r="C87" s="6" t="s">
        <v>32</v>
      </c>
      <c r="D87" s="6">
        <v>16</v>
      </c>
      <c r="E87" s="49">
        <v>1800</v>
      </c>
      <c r="F87" s="6">
        <v>10050</v>
      </c>
      <c r="G87" s="8" t="s">
        <v>33</v>
      </c>
      <c r="H87" s="5">
        <v>1</v>
      </c>
      <c r="I87" s="9">
        <f t="shared" si="12"/>
        <v>2272.104</v>
      </c>
      <c r="J87" s="13" t="s">
        <v>34</v>
      </c>
      <c r="K87" s="48" t="s">
        <v>78</v>
      </c>
      <c r="L87" s="48"/>
      <c r="M87" s="49" t="s">
        <v>303</v>
      </c>
      <c r="N87" s="48"/>
      <c r="O87" s="48"/>
      <c r="P87" s="48"/>
      <c r="Q87" s="48"/>
      <c r="R87" s="48"/>
      <c r="S87" s="48"/>
      <c r="T87" s="48"/>
      <c r="U87" s="59">
        <f t="shared" si="13"/>
        <v>0</v>
      </c>
      <c r="V87" s="48">
        <f t="shared" si="17"/>
        <v>1</v>
      </c>
      <c r="W87" s="49" t="s">
        <v>303</v>
      </c>
      <c r="X87" s="58">
        <f t="shared" si="14"/>
        <v>10050</v>
      </c>
      <c r="Z87">
        <f t="shared" si="16"/>
        <v>2272.104</v>
      </c>
      <c r="AA87">
        <f t="shared" si="15"/>
        <v>0</v>
      </c>
    </row>
    <row r="88" ht="16.5" hidden="1" spans="1:27">
      <c r="A88" s="5">
        <v>12</v>
      </c>
      <c r="B88" s="5" t="s">
        <v>31</v>
      </c>
      <c r="C88" s="6" t="s">
        <v>32</v>
      </c>
      <c r="D88" s="6">
        <v>16</v>
      </c>
      <c r="E88" s="49">
        <v>1800</v>
      </c>
      <c r="F88" s="6">
        <v>10120</v>
      </c>
      <c r="G88" s="8" t="s">
        <v>33</v>
      </c>
      <c r="H88" s="5">
        <v>1</v>
      </c>
      <c r="I88" s="9">
        <f t="shared" si="12"/>
        <v>2287.9296</v>
      </c>
      <c r="J88" s="13" t="s">
        <v>34</v>
      </c>
      <c r="K88" s="48" t="s">
        <v>78</v>
      </c>
      <c r="L88" s="48"/>
      <c r="M88" s="49" t="s">
        <v>303</v>
      </c>
      <c r="N88" s="48"/>
      <c r="O88" s="48"/>
      <c r="P88" s="48"/>
      <c r="Q88" s="48"/>
      <c r="R88" s="48"/>
      <c r="S88" s="48"/>
      <c r="T88" s="48"/>
      <c r="U88" s="59">
        <f t="shared" si="13"/>
        <v>0</v>
      </c>
      <c r="V88" s="48">
        <f t="shared" si="17"/>
        <v>1</v>
      </c>
      <c r="W88" s="49" t="s">
        <v>303</v>
      </c>
      <c r="X88" s="58">
        <f t="shared" si="14"/>
        <v>10120</v>
      </c>
      <c r="Z88">
        <f t="shared" si="16"/>
        <v>2287.9296</v>
      </c>
      <c r="AA88">
        <f t="shared" si="15"/>
        <v>0</v>
      </c>
    </row>
    <row r="89" ht="16.5" hidden="1" spans="1:27">
      <c r="A89" s="5">
        <v>11</v>
      </c>
      <c r="B89" s="5" t="s">
        <v>31</v>
      </c>
      <c r="C89" s="6" t="s">
        <v>32</v>
      </c>
      <c r="D89" s="6">
        <v>16</v>
      </c>
      <c r="E89" s="49">
        <v>1800</v>
      </c>
      <c r="F89" s="60">
        <f>(455838+2000)/5/9</f>
        <v>10174.1777777778</v>
      </c>
      <c r="G89" s="8" t="s">
        <v>33</v>
      </c>
      <c r="H89" s="5">
        <v>9</v>
      </c>
      <c r="I89" s="9">
        <f t="shared" si="12"/>
        <v>20701.603008</v>
      </c>
      <c r="J89" s="13" t="s">
        <v>14</v>
      </c>
      <c r="K89" s="48" t="s">
        <v>78</v>
      </c>
      <c r="L89" s="48"/>
      <c r="M89" s="49" t="s">
        <v>303</v>
      </c>
      <c r="N89" s="48"/>
      <c r="O89" s="48"/>
      <c r="P89" s="48"/>
      <c r="Q89" s="48"/>
      <c r="R89" s="48"/>
      <c r="S89" s="48"/>
      <c r="T89" s="48"/>
      <c r="U89" s="59">
        <f t="shared" si="13"/>
        <v>0</v>
      </c>
      <c r="V89" s="48">
        <f t="shared" si="17"/>
        <v>9</v>
      </c>
      <c r="W89" s="49" t="s">
        <v>303</v>
      </c>
      <c r="X89" s="58">
        <f t="shared" si="14"/>
        <v>91567.6000000002</v>
      </c>
      <c r="Z89">
        <f t="shared" si="16"/>
        <v>20701.603008</v>
      </c>
      <c r="AA89">
        <f t="shared" si="15"/>
        <v>0</v>
      </c>
    </row>
    <row r="90" ht="16.5" hidden="1" spans="1:27">
      <c r="A90" s="5">
        <v>27</v>
      </c>
      <c r="B90" s="5" t="s">
        <v>31</v>
      </c>
      <c r="C90" s="6" t="s">
        <v>32</v>
      </c>
      <c r="D90" s="6">
        <v>16</v>
      </c>
      <c r="E90" s="49">
        <v>1800</v>
      </c>
      <c r="F90" s="6">
        <v>10640</v>
      </c>
      <c r="G90" s="8" t="s">
        <v>33</v>
      </c>
      <c r="H90" s="5">
        <v>1</v>
      </c>
      <c r="I90" s="9">
        <f t="shared" si="12"/>
        <v>2405.4912</v>
      </c>
      <c r="J90" s="13" t="s">
        <v>34</v>
      </c>
      <c r="K90" s="48" t="s">
        <v>72</v>
      </c>
      <c r="L90" s="48"/>
      <c r="M90" s="7">
        <v>3</v>
      </c>
      <c r="N90" s="48" t="s">
        <v>307</v>
      </c>
      <c r="O90" s="54" t="s">
        <v>320</v>
      </c>
      <c r="P90" s="33">
        <v>1</v>
      </c>
      <c r="Q90" s="48"/>
      <c r="R90" s="48"/>
      <c r="S90" s="48"/>
      <c r="T90" s="48"/>
      <c r="U90" s="59">
        <f t="shared" si="13"/>
        <v>2405.4912</v>
      </c>
      <c r="V90" s="48">
        <f t="shared" si="17"/>
        <v>0</v>
      </c>
      <c r="W90" s="49" t="s">
        <v>303</v>
      </c>
      <c r="X90" s="58">
        <f t="shared" si="14"/>
        <v>0</v>
      </c>
      <c r="Z90">
        <f t="shared" si="16"/>
        <v>0</v>
      </c>
      <c r="AA90">
        <f t="shared" si="15"/>
        <v>0</v>
      </c>
    </row>
    <row r="91" ht="16.5" hidden="1" spans="1:27">
      <c r="A91" s="5">
        <v>11</v>
      </c>
      <c r="B91" s="5" t="s">
        <v>31</v>
      </c>
      <c r="C91" s="6" t="s">
        <v>32</v>
      </c>
      <c r="D91" s="6">
        <v>16</v>
      </c>
      <c r="E91" s="20">
        <v>1800</v>
      </c>
      <c r="F91" s="6">
        <v>11220</v>
      </c>
      <c r="G91" s="8" t="s">
        <v>33</v>
      </c>
      <c r="H91" s="5">
        <v>1</v>
      </c>
      <c r="I91" s="9">
        <f t="shared" si="12"/>
        <v>2536.6176</v>
      </c>
      <c r="J91" s="13" t="s">
        <v>34</v>
      </c>
      <c r="K91" s="48" t="s">
        <v>84</v>
      </c>
      <c r="L91" s="48"/>
      <c r="M91" s="49" t="s">
        <v>303</v>
      </c>
      <c r="N91" s="48"/>
      <c r="O91" s="48"/>
      <c r="P91" s="48"/>
      <c r="Q91" s="48"/>
      <c r="R91" s="48"/>
      <c r="S91" s="48"/>
      <c r="T91" s="48"/>
      <c r="U91" s="59">
        <f t="shared" si="13"/>
        <v>0</v>
      </c>
      <c r="V91" s="48">
        <f t="shared" si="17"/>
        <v>1</v>
      </c>
      <c r="W91" s="49" t="s">
        <v>303</v>
      </c>
      <c r="X91" s="58">
        <f t="shared" si="14"/>
        <v>11220</v>
      </c>
      <c r="Z91">
        <f t="shared" si="16"/>
        <v>2536.6176</v>
      </c>
      <c r="AA91">
        <f t="shared" si="15"/>
        <v>0</v>
      </c>
    </row>
    <row r="92" ht="16.5" hidden="1" spans="1:27">
      <c r="A92" s="5">
        <v>27</v>
      </c>
      <c r="B92" s="5" t="s">
        <v>31</v>
      </c>
      <c r="C92" s="6" t="s">
        <v>37</v>
      </c>
      <c r="D92" s="6">
        <v>16</v>
      </c>
      <c r="E92" s="49">
        <v>1800</v>
      </c>
      <c r="F92" s="6">
        <v>11230</v>
      </c>
      <c r="G92" s="8" t="s">
        <v>33</v>
      </c>
      <c r="H92" s="5">
        <v>1</v>
      </c>
      <c r="I92" s="9">
        <f t="shared" si="12"/>
        <v>2538.8784</v>
      </c>
      <c r="J92" s="13" t="s">
        <v>38</v>
      </c>
      <c r="K92" s="48" t="s">
        <v>78</v>
      </c>
      <c r="L92" s="48"/>
      <c r="M92" s="49" t="s">
        <v>303</v>
      </c>
      <c r="N92" s="48"/>
      <c r="O92" s="48"/>
      <c r="P92" s="48"/>
      <c r="Q92" s="48"/>
      <c r="R92" s="48"/>
      <c r="S92" s="48"/>
      <c r="T92" s="48"/>
      <c r="U92" s="59">
        <f t="shared" si="13"/>
        <v>0</v>
      </c>
      <c r="V92" s="48">
        <f t="shared" si="17"/>
        <v>1</v>
      </c>
      <c r="W92" s="49" t="s">
        <v>303</v>
      </c>
      <c r="X92" s="58">
        <f t="shared" si="14"/>
        <v>11230</v>
      </c>
      <c r="Z92">
        <f t="shared" si="16"/>
        <v>2538.8784</v>
      </c>
      <c r="AA92">
        <f t="shared" si="15"/>
        <v>0</v>
      </c>
    </row>
    <row r="93" ht="16.5" hidden="1" spans="1:27">
      <c r="A93" s="5">
        <v>26</v>
      </c>
      <c r="B93" s="5" t="s">
        <v>31</v>
      </c>
      <c r="C93" s="6" t="s">
        <v>37</v>
      </c>
      <c r="D93" s="6">
        <v>16</v>
      </c>
      <c r="E93" s="20">
        <v>1800</v>
      </c>
      <c r="F93" s="6">
        <v>11230</v>
      </c>
      <c r="G93" s="8" t="s">
        <v>33</v>
      </c>
      <c r="H93" s="5">
        <v>1</v>
      </c>
      <c r="I93" s="9">
        <f t="shared" si="12"/>
        <v>2538.8784</v>
      </c>
      <c r="J93" s="13" t="s">
        <v>38</v>
      </c>
      <c r="K93" s="48" t="s">
        <v>84</v>
      </c>
      <c r="L93" s="48"/>
      <c r="M93" s="49" t="s">
        <v>303</v>
      </c>
      <c r="N93" s="48"/>
      <c r="O93" s="48"/>
      <c r="P93" s="48"/>
      <c r="Q93" s="48"/>
      <c r="R93" s="48"/>
      <c r="S93" s="48"/>
      <c r="T93" s="48"/>
      <c r="U93" s="59">
        <f t="shared" si="13"/>
        <v>0</v>
      </c>
      <c r="V93" s="48">
        <f t="shared" si="17"/>
        <v>1</v>
      </c>
      <c r="W93" s="49" t="s">
        <v>303</v>
      </c>
      <c r="X93" s="58">
        <f t="shared" si="14"/>
        <v>11230</v>
      </c>
      <c r="Z93">
        <f t="shared" si="16"/>
        <v>2538.8784</v>
      </c>
      <c r="AA93">
        <f t="shared" si="15"/>
        <v>0</v>
      </c>
    </row>
    <row r="94" ht="16.5" hidden="1" spans="1:27">
      <c r="A94" s="5">
        <v>27</v>
      </c>
      <c r="B94" s="5" t="s">
        <v>31</v>
      </c>
      <c r="C94" s="6" t="s">
        <v>32</v>
      </c>
      <c r="D94" s="6">
        <v>16</v>
      </c>
      <c r="E94" s="20">
        <v>1800</v>
      </c>
      <c r="F94" s="6">
        <v>11340</v>
      </c>
      <c r="G94" s="8" t="s">
        <v>33</v>
      </c>
      <c r="H94" s="5">
        <v>1</v>
      </c>
      <c r="I94" s="9">
        <f t="shared" si="12"/>
        <v>2563.7472</v>
      </c>
      <c r="J94" s="13" t="s">
        <v>36</v>
      </c>
      <c r="K94" s="48" t="s">
        <v>84</v>
      </c>
      <c r="L94" s="48"/>
      <c r="M94" s="49" t="s">
        <v>303</v>
      </c>
      <c r="N94" s="48"/>
      <c r="O94" s="48"/>
      <c r="P94" s="48"/>
      <c r="Q94" s="48"/>
      <c r="R94" s="48"/>
      <c r="S94" s="48"/>
      <c r="T94" s="48"/>
      <c r="U94" s="59">
        <f t="shared" si="13"/>
        <v>0</v>
      </c>
      <c r="V94" s="48">
        <f t="shared" si="17"/>
        <v>1</v>
      </c>
      <c r="W94" s="49" t="s">
        <v>303</v>
      </c>
      <c r="X94" s="58">
        <f t="shared" si="14"/>
        <v>11340</v>
      </c>
      <c r="Z94">
        <f t="shared" si="16"/>
        <v>2563.7472</v>
      </c>
      <c r="AA94">
        <f t="shared" si="15"/>
        <v>0</v>
      </c>
    </row>
    <row r="95" ht="16.5" hidden="1" spans="1:27">
      <c r="A95" s="5">
        <v>15</v>
      </c>
      <c r="B95" s="5" t="s">
        <v>31</v>
      </c>
      <c r="C95" s="6" t="s">
        <v>32</v>
      </c>
      <c r="D95" s="6">
        <v>16</v>
      </c>
      <c r="E95" s="49">
        <v>1800</v>
      </c>
      <c r="F95" s="6">
        <v>11450</v>
      </c>
      <c r="G95" s="8" t="s">
        <v>33</v>
      </c>
      <c r="H95" s="5">
        <v>1</v>
      </c>
      <c r="I95" s="9">
        <f t="shared" si="12"/>
        <v>2588.616</v>
      </c>
      <c r="J95" s="13" t="s">
        <v>36</v>
      </c>
      <c r="K95" s="48" t="s">
        <v>72</v>
      </c>
      <c r="L95" s="48"/>
      <c r="M95" s="7">
        <v>4</v>
      </c>
      <c r="N95" s="48" t="s">
        <v>307</v>
      </c>
      <c r="O95" s="54" t="s">
        <v>321</v>
      </c>
      <c r="P95" s="33">
        <v>1</v>
      </c>
      <c r="Q95" s="48"/>
      <c r="R95" s="48"/>
      <c r="S95" s="48"/>
      <c r="T95" s="48"/>
      <c r="U95" s="59">
        <f t="shared" si="13"/>
        <v>2588.616</v>
      </c>
      <c r="V95" s="48">
        <f t="shared" si="17"/>
        <v>0</v>
      </c>
      <c r="W95" s="49" t="s">
        <v>303</v>
      </c>
      <c r="X95" s="58">
        <f t="shared" si="14"/>
        <v>0</v>
      </c>
      <c r="Z95">
        <f t="shared" si="16"/>
        <v>0</v>
      </c>
      <c r="AA95">
        <f t="shared" si="15"/>
        <v>0</v>
      </c>
    </row>
    <row r="96" ht="16.5" hidden="1" spans="1:27">
      <c r="A96" s="5">
        <v>28</v>
      </c>
      <c r="B96" s="5" t="s">
        <v>31</v>
      </c>
      <c r="C96" s="6" t="s">
        <v>32</v>
      </c>
      <c r="D96" s="6">
        <v>16</v>
      </c>
      <c r="E96" s="49">
        <v>1800</v>
      </c>
      <c r="F96" s="6">
        <v>11660</v>
      </c>
      <c r="G96" s="8" t="s">
        <v>33</v>
      </c>
      <c r="H96" s="5">
        <v>1</v>
      </c>
      <c r="I96" s="9">
        <f t="shared" si="12"/>
        <v>2636.0928</v>
      </c>
      <c r="J96" s="13" t="s">
        <v>36</v>
      </c>
      <c r="K96" s="48" t="s">
        <v>72</v>
      </c>
      <c r="L96" s="48"/>
      <c r="M96" s="56">
        <v>1</v>
      </c>
      <c r="N96" s="48" t="s">
        <v>307</v>
      </c>
      <c r="O96" s="54" t="s">
        <v>322</v>
      </c>
      <c r="P96" s="33">
        <v>1</v>
      </c>
      <c r="Q96" s="48"/>
      <c r="R96" s="48"/>
      <c r="S96" s="48"/>
      <c r="T96" s="48"/>
      <c r="U96" s="59">
        <f t="shared" si="13"/>
        <v>2636.0928</v>
      </c>
      <c r="V96" s="48">
        <f t="shared" si="17"/>
        <v>0</v>
      </c>
      <c r="W96" s="49" t="s">
        <v>303</v>
      </c>
      <c r="X96" s="58">
        <f t="shared" si="14"/>
        <v>0</v>
      </c>
      <c r="Z96">
        <f t="shared" si="16"/>
        <v>0</v>
      </c>
      <c r="AA96">
        <f t="shared" si="15"/>
        <v>0</v>
      </c>
    </row>
    <row r="97" ht="16.5" hidden="1" spans="1:27">
      <c r="A97" s="5">
        <v>28</v>
      </c>
      <c r="B97" s="5" t="s">
        <v>31</v>
      </c>
      <c r="C97" s="6" t="s">
        <v>32</v>
      </c>
      <c r="D97" s="6">
        <v>16</v>
      </c>
      <c r="E97" s="20">
        <v>1800</v>
      </c>
      <c r="F97" s="6">
        <v>11670</v>
      </c>
      <c r="G97" s="8" t="s">
        <v>33</v>
      </c>
      <c r="H97" s="5">
        <v>1</v>
      </c>
      <c r="I97" s="9">
        <f t="shared" si="12"/>
        <v>2638.3536</v>
      </c>
      <c r="J97" s="13" t="s">
        <v>34</v>
      </c>
      <c r="K97" s="48" t="s">
        <v>84</v>
      </c>
      <c r="L97" s="48"/>
      <c r="M97" s="49" t="s">
        <v>303</v>
      </c>
      <c r="N97" s="48"/>
      <c r="O97" s="48"/>
      <c r="P97" s="48"/>
      <c r="Q97" s="48"/>
      <c r="R97" s="48"/>
      <c r="S97" s="48"/>
      <c r="T97" s="48"/>
      <c r="U97" s="59">
        <f t="shared" si="13"/>
        <v>0</v>
      </c>
      <c r="V97" s="48">
        <f t="shared" si="17"/>
        <v>1</v>
      </c>
      <c r="W97" s="49" t="s">
        <v>303</v>
      </c>
      <c r="X97" s="58">
        <f t="shared" si="14"/>
        <v>11670</v>
      </c>
      <c r="Z97">
        <f t="shared" si="16"/>
        <v>2638.3536</v>
      </c>
      <c r="AA97">
        <f t="shared" si="15"/>
        <v>0</v>
      </c>
    </row>
    <row r="98" ht="16.5" hidden="1" spans="1:27">
      <c r="A98" s="5">
        <v>9</v>
      </c>
      <c r="B98" s="5" t="s">
        <v>31</v>
      </c>
      <c r="C98" s="6" t="s">
        <v>32</v>
      </c>
      <c r="D98" s="6">
        <v>16</v>
      </c>
      <c r="E98" s="49">
        <v>1800</v>
      </c>
      <c r="F98" s="6">
        <v>11880</v>
      </c>
      <c r="G98" s="8" t="s">
        <v>33</v>
      </c>
      <c r="H98" s="5">
        <v>1</v>
      </c>
      <c r="I98" s="9">
        <f t="shared" si="12"/>
        <v>2685.8304</v>
      </c>
      <c r="J98" s="13" t="s">
        <v>34</v>
      </c>
      <c r="K98" s="48" t="s">
        <v>72</v>
      </c>
      <c r="L98" s="48"/>
      <c r="M98" s="7">
        <v>1</v>
      </c>
      <c r="N98" s="48" t="s">
        <v>307</v>
      </c>
      <c r="O98" s="54" t="s">
        <v>323</v>
      </c>
      <c r="P98" s="33">
        <v>1</v>
      </c>
      <c r="Q98" s="48"/>
      <c r="R98" s="48"/>
      <c r="S98" s="48"/>
      <c r="T98" s="48"/>
      <c r="U98" s="59">
        <f t="shared" si="13"/>
        <v>2685.8304</v>
      </c>
      <c r="V98" s="48">
        <f t="shared" si="17"/>
        <v>0</v>
      </c>
      <c r="W98" s="49" t="s">
        <v>303</v>
      </c>
      <c r="X98" s="58">
        <f t="shared" si="14"/>
        <v>0</v>
      </c>
      <c r="Z98">
        <f t="shared" si="16"/>
        <v>0</v>
      </c>
      <c r="AA98">
        <f t="shared" si="15"/>
        <v>0</v>
      </c>
    </row>
    <row r="99" ht="16.5" hidden="1" spans="1:27">
      <c r="A99" s="5">
        <v>12</v>
      </c>
      <c r="B99" s="5" t="s">
        <v>31</v>
      </c>
      <c r="C99" s="6" t="s">
        <v>32</v>
      </c>
      <c r="D99" s="6">
        <v>16</v>
      </c>
      <c r="E99" s="20">
        <v>1800</v>
      </c>
      <c r="F99" s="6">
        <v>11940</v>
      </c>
      <c r="G99" s="8" t="s">
        <v>33</v>
      </c>
      <c r="H99" s="5">
        <v>1</v>
      </c>
      <c r="I99" s="9">
        <f t="shared" ref="I99:I130" si="18">E99*H99*F99*D99*7.85/1000000</f>
        <v>2699.3952</v>
      </c>
      <c r="J99" s="13" t="s">
        <v>34</v>
      </c>
      <c r="K99" s="48" t="s">
        <v>84</v>
      </c>
      <c r="L99" s="48"/>
      <c r="M99" s="49" t="s">
        <v>303</v>
      </c>
      <c r="N99" s="48"/>
      <c r="O99" s="48"/>
      <c r="P99" s="48"/>
      <c r="Q99" s="48"/>
      <c r="R99" s="48"/>
      <c r="S99" s="48"/>
      <c r="T99" s="48"/>
      <c r="U99" s="59">
        <f t="shared" ref="U99:U130" si="19">D99*E99*F99*(P99+R99+T99)*7.85/1000/1000</f>
        <v>0</v>
      </c>
      <c r="V99" s="48">
        <f t="shared" si="17"/>
        <v>1</v>
      </c>
      <c r="W99" s="49" t="s">
        <v>303</v>
      </c>
      <c r="X99" s="58">
        <f t="shared" ref="X99:X130" si="20">F99*V99</f>
        <v>11940</v>
      </c>
      <c r="Z99">
        <f t="shared" si="16"/>
        <v>2699.3952</v>
      </c>
      <c r="AA99">
        <f t="shared" ref="AA99:AA130" si="21">I99-U99-Z99</f>
        <v>0</v>
      </c>
    </row>
    <row r="100" ht="16.5" hidden="1" spans="1:27">
      <c r="A100" s="5">
        <v>21</v>
      </c>
      <c r="B100" s="5" t="s">
        <v>31</v>
      </c>
      <c r="C100" s="6" t="s">
        <v>32</v>
      </c>
      <c r="D100" s="6">
        <v>16</v>
      </c>
      <c r="E100" s="20">
        <v>1800</v>
      </c>
      <c r="F100" s="6">
        <v>12720</v>
      </c>
      <c r="G100" s="8" t="s">
        <v>33</v>
      </c>
      <c r="H100" s="5">
        <v>1</v>
      </c>
      <c r="I100" s="9">
        <f t="shared" si="18"/>
        <v>2875.7376</v>
      </c>
      <c r="J100" s="13" t="s">
        <v>36</v>
      </c>
      <c r="K100" s="48" t="s">
        <v>84</v>
      </c>
      <c r="L100" s="48"/>
      <c r="M100" s="7">
        <v>25</v>
      </c>
      <c r="N100" s="48" t="s">
        <v>286</v>
      </c>
      <c r="O100" s="54" t="s">
        <v>324</v>
      </c>
      <c r="P100" s="33">
        <v>1</v>
      </c>
      <c r="Q100" s="48"/>
      <c r="R100" s="48"/>
      <c r="S100" s="48"/>
      <c r="T100" s="48"/>
      <c r="U100" s="59">
        <f t="shared" si="19"/>
        <v>2875.7376</v>
      </c>
      <c r="V100" s="48">
        <f t="shared" si="17"/>
        <v>0</v>
      </c>
      <c r="W100" s="49" t="s">
        <v>303</v>
      </c>
      <c r="X100" s="58">
        <f t="shared" si="20"/>
        <v>0</v>
      </c>
      <c r="Z100">
        <f t="shared" si="16"/>
        <v>0</v>
      </c>
      <c r="AA100">
        <f t="shared" si="21"/>
        <v>0</v>
      </c>
    </row>
    <row r="101" ht="16.5" hidden="1" spans="1:27">
      <c r="A101" s="5">
        <v>35</v>
      </c>
      <c r="B101" s="5" t="s">
        <v>31</v>
      </c>
      <c r="C101" s="6" t="s">
        <v>39</v>
      </c>
      <c r="D101" s="6">
        <v>16</v>
      </c>
      <c r="E101" s="49">
        <v>2000</v>
      </c>
      <c r="F101" s="6">
        <v>6030</v>
      </c>
      <c r="G101" s="8" t="s">
        <v>33</v>
      </c>
      <c r="H101" s="5">
        <v>1</v>
      </c>
      <c r="I101" s="9">
        <f t="shared" si="18"/>
        <v>1514.736</v>
      </c>
      <c r="J101" s="13" t="s">
        <v>38</v>
      </c>
      <c r="K101" s="48" t="s">
        <v>89</v>
      </c>
      <c r="L101" s="48"/>
      <c r="M101" s="49" t="s">
        <v>325</v>
      </c>
      <c r="N101" s="48"/>
      <c r="O101" s="48"/>
      <c r="P101" s="48"/>
      <c r="Q101" s="48"/>
      <c r="R101" s="48"/>
      <c r="S101" s="48"/>
      <c r="T101" s="48"/>
      <c r="U101" s="59">
        <f t="shared" si="19"/>
        <v>0</v>
      </c>
      <c r="V101" s="48">
        <f t="shared" si="17"/>
        <v>1</v>
      </c>
      <c r="W101" s="49" t="s">
        <v>325</v>
      </c>
      <c r="X101" s="58">
        <f t="shared" si="20"/>
        <v>6030</v>
      </c>
      <c r="Y101">
        <f>SUM(X15:X100)</f>
        <v>980083.6</v>
      </c>
      <c r="Z101">
        <f t="shared" ref="Z101:Z132" si="22">D101*E101*X101*7.85/1000/1000</f>
        <v>1514.736</v>
      </c>
      <c r="AA101">
        <f t="shared" si="21"/>
        <v>0</v>
      </c>
    </row>
    <row r="102" ht="16.5" hidden="1" spans="1:27">
      <c r="A102" s="5">
        <v>39</v>
      </c>
      <c r="B102" s="5" t="s">
        <v>31</v>
      </c>
      <c r="C102" s="6" t="s">
        <v>32</v>
      </c>
      <c r="D102" s="6">
        <v>16</v>
      </c>
      <c r="E102" s="49">
        <v>2000</v>
      </c>
      <c r="F102" s="6">
        <v>6590</v>
      </c>
      <c r="G102" s="8" t="s">
        <v>33</v>
      </c>
      <c r="H102" s="5">
        <v>1</v>
      </c>
      <c r="I102" s="9">
        <f t="shared" si="18"/>
        <v>1655.408</v>
      </c>
      <c r="J102" s="13" t="s">
        <v>36</v>
      </c>
      <c r="K102" s="48" t="s">
        <v>72</v>
      </c>
      <c r="L102" s="48"/>
      <c r="M102" s="7">
        <v>6</v>
      </c>
      <c r="N102" s="48" t="s">
        <v>307</v>
      </c>
      <c r="O102" s="54" t="s">
        <v>326</v>
      </c>
      <c r="P102" s="33">
        <v>1</v>
      </c>
      <c r="Q102" s="48"/>
      <c r="R102" s="48"/>
      <c r="S102" s="48"/>
      <c r="T102" s="48"/>
      <c r="U102" s="59">
        <f t="shared" si="19"/>
        <v>1655.408</v>
      </c>
      <c r="V102" s="48">
        <f t="shared" si="17"/>
        <v>0</v>
      </c>
      <c r="W102" s="49" t="s">
        <v>325</v>
      </c>
      <c r="X102" s="58">
        <f t="shared" si="20"/>
        <v>0</v>
      </c>
      <c r="Z102">
        <f t="shared" si="22"/>
        <v>0</v>
      </c>
      <c r="AA102">
        <f t="shared" si="21"/>
        <v>0</v>
      </c>
    </row>
    <row r="103" ht="16.5" hidden="1" spans="1:27">
      <c r="A103" s="5">
        <v>37</v>
      </c>
      <c r="B103" s="5" t="s">
        <v>31</v>
      </c>
      <c r="C103" s="6" t="s">
        <v>32</v>
      </c>
      <c r="D103" s="6">
        <v>16</v>
      </c>
      <c r="E103" s="49">
        <v>2000</v>
      </c>
      <c r="F103" s="6">
        <v>7160</v>
      </c>
      <c r="G103" s="8" t="s">
        <v>33</v>
      </c>
      <c r="H103" s="5">
        <v>1</v>
      </c>
      <c r="I103" s="9">
        <f t="shared" si="18"/>
        <v>1798.592</v>
      </c>
      <c r="J103" s="13" t="s">
        <v>11</v>
      </c>
      <c r="K103" s="48" t="s">
        <v>89</v>
      </c>
      <c r="L103" s="48"/>
      <c r="M103" s="49" t="s">
        <v>325</v>
      </c>
      <c r="N103" s="48"/>
      <c r="O103" s="48"/>
      <c r="P103" s="48"/>
      <c r="Q103" s="48"/>
      <c r="R103" s="48"/>
      <c r="S103" s="48"/>
      <c r="T103" s="48"/>
      <c r="U103" s="59">
        <f t="shared" si="19"/>
        <v>0</v>
      </c>
      <c r="V103" s="48">
        <f t="shared" ref="V103:V134" si="23">H103-P103-R103-T103</f>
        <v>1</v>
      </c>
      <c r="W103" s="49" t="s">
        <v>325</v>
      </c>
      <c r="X103" s="58">
        <f t="shared" si="20"/>
        <v>7160</v>
      </c>
      <c r="Z103">
        <f t="shared" si="22"/>
        <v>1798.592</v>
      </c>
      <c r="AA103">
        <f t="shared" si="21"/>
        <v>0</v>
      </c>
    </row>
    <row r="104" ht="16.5" hidden="1" spans="1:27">
      <c r="A104" s="5">
        <v>45</v>
      </c>
      <c r="B104" s="5" t="s">
        <v>31</v>
      </c>
      <c r="C104" s="6" t="s">
        <v>32</v>
      </c>
      <c r="D104" s="6">
        <v>16</v>
      </c>
      <c r="E104" s="49">
        <v>2000</v>
      </c>
      <c r="F104" s="6">
        <v>7210</v>
      </c>
      <c r="G104" s="8" t="s">
        <v>33</v>
      </c>
      <c r="H104" s="5">
        <v>1</v>
      </c>
      <c r="I104" s="9">
        <f t="shared" si="18"/>
        <v>1811.152</v>
      </c>
      <c r="J104" s="5" t="s">
        <v>35</v>
      </c>
      <c r="K104" s="48" t="s">
        <v>72</v>
      </c>
      <c r="L104" s="48"/>
      <c r="M104" s="7">
        <v>2</v>
      </c>
      <c r="N104" s="48" t="s">
        <v>307</v>
      </c>
      <c r="O104" s="54" t="s">
        <v>327</v>
      </c>
      <c r="P104" s="33">
        <v>1</v>
      </c>
      <c r="Q104" s="48"/>
      <c r="R104" s="48"/>
      <c r="S104" s="48"/>
      <c r="T104" s="48"/>
      <c r="U104" s="59">
        <f t="shared" si="19"/>
        <v>1811.152</v>
      </c>
      <c r="V104" s="48">
        <f t="shared" si="23"/>
        <v>0</v>
      </c>
      <c r="W104" s="49" t="s">
        <v>325</v>
      </c>
      <c r="X104" s="58">
        <f t="shared" si="20"/>
        <v>0</v>
      </c>
      <c r="Z104">
        <f t="shared" si="22"/>
        <v>0</v>
      </c>
      <c r="AA104">
        <f t="shared" si="21"/>
        <v>0</v>
      </c>
    </row>
    <row r="105" ht="16.5" hidden="1" spans="1:27">
      <c r="A105" s="5">
        <v>35</v>
      </c>
      <c r="B105" s="5" t="s">
        <v>31</v>
      </c>
      <c r="C105" s="6" t="s">
        <v>32</v>
      </c>
      <c r="D105" s="6">
        <v>16</v>
      </c>
      <c r="E105" s="49">
        <v>2000</v>
      </c>
      <c r="F105" s="6">
        <v>7219.99999999999</v>
      </c>
      <c r="G105" s="8" t="s">
        <v>33</v>
      </c>
      <c r="H105" s="5">
        <v>1</v>
      </c>
      <c r="I105" s="9">
        <f t="shared" si="18"/>
        <v>1813.664</v>
      </c>
      <c r="J105" s="13" t="s">
        <v>35</v>
      </c>
      <c r="K105" s="48" t="s">
        <v>78</v>
      </c>
      <c r="L105" s="48"/>
      <c r="M105" s="49" t="s">
        <v>325</v>
      </c>
      <c r="N105" s="48"/>
      <c r="O105" s="48"/>
      <c r="P105" s="48"/>
      <c r="Q105" s="48"/>
      <c r="R105" s="48"/>
      <c r="S105" s="48"/>
      <c r="T105" s="48"/>
      <c r="U105" s="59">
        <f t="shared" si="19"/>
        <v>0</v>
      </c>
      <c r="V105" s="48">
        <f t="shared" si="23"/>
        <v>1</v>
      </c>
      <c r="W105" s="49" t="s">
        <v>325</v>
      </c>
      <c r="X105" s="58">
        <f t="shared" si="20"/>
        <v>7219.99999999999</v>
      </c>
      <c r="Z105">
        <f t="shared" si="22"/>
        <v>1813.664</v>
      </c>
      <c r="AA105">
        <f t="shared" si="21"/>
        <v>0</v>
      </c>
    </row>
    <row r="106" ht="16.5" hidden="1" spans="1:27">
      <c r="A106" s="5">
        <v>44</v>
      </c>
      <c r="B106" s="5" t="s">
        <v>31</v>
      </c>
      <c r="C106" s="6" t="s">
        <v>32</v>
      </c>
      <c r="D106" s="6">
        <v>16</v>
      </c>
      <c r="E106" s="49">
        <v>2000</v>
      </c>
      <c r="F106" s="6">
        <v>7220</v>
      </c>
      <c r="G106" s="8" t="s">
        <v>33</v>
      </c>
      <c r="H106" s="5">
        <v>1</v>
      </c>
      <c r="I106" s="9">
        <f t="shared" si="18"/>
        <v>1813.664</v>
      </c>
      <c r="J106" s="13" t="s">
        <v>35</v>
      </c>
      <c r="K106" s="48" t="s">
        <v>78</v>
      </c>
      <c r="L106" s="48"/>
      <c r="M106" s="49" t="s">
        <v>325</v>
      </c>
      <c r="N106" s="48"/>
      <c r="O106" s="48"/>
      <c r="P106" s="48"/>
      <c r="Q106" s="48"/>
      <c r="R106" s="48"/>
      <c r="S106" s="48"/>
      <c r="T106" s="48"/>
      <c r="U106" s="59">
        <f t="shared" si="19"/>
        <v>0</v>
      </c>
      <c r="V106" s="48">
        <f t="shared" si="23"/>
        <v>1</v>
      </c>
      <c r="W106" s="49" t="s">
        <v>325</v>
      </c>
      <c r="X106" s="58">
        <f t="shared" si="20"/>
        <v>7220</v>
      </c>
      <c r="Z106">
        <f t="shared" si="22"/>
        <v>1813.664</v>
      </c>
      <c r="AA106">
        <f t="shared" si="21"/>
        <v>0</v>
      </c>
    </row>
    <row r="107" ht="16.5" hidden="1" spans="1:27">
      <c r="A107" s="5">
        <v>26</v>
      </c>
      <c r="B107" s="5" t="s">
        <v>31</v>
      </c>
      <c r="C107" s="6" t="s">
        <v>32</v>
      </c>
      <c r="D107" s="6">
        <v>16</v>
      </c>
      <c r="E107" s="7">
        <v>2000</v>
      </c>
      <c r="F107" s="61">
        <v>7270</v>
      </c>
      <c r="G107" s="8" t="s">
        <v>33</v>
      </c>
      <c r="H107" s="10">
        <v>1</v>
      </c>
      <c r="I107" s="9">
        <f t="shared" si="18"/>
        <v>1826.224</v>
      </c>
      <c r="J107" s="13" t="s">
        <v>36</v>
      </c>
      <c r="K107" s="48" t="s">
        <v>89</v>
      </c>
      <c r="L107" s="48" t="s">
        <v>328</v>
      </c>
      <c r="M107" s="49" t="s">
        <v>78</v>
      </c>
      <c r="N107" s="62" t="s">
        <v>78</v>
      </c>
      <c r="O107" s="54" t="s">
        <v>329</v>
      </c>
      <c r="P107" s="48">
        <v>1</v>
      </c>
      <c r="Q107" s="48"/>
      <c r="R107" s="48"/>
      <c r="S107" s="48"/>
      <c r="T107" s="48"/>
      <c r="U107" s="59">
        <f t="shared" si="19"/>
        <v>1826.224</v>
      </c>
      <c r="V107" s="48">
        <f t="shared" si="23"/>
        <v>0</v>
      </c>
      <c r="W107" s="49" t="s">
        <v>325</v>
      </c>
      <c r="X107" s="58">
        <f t="shared" si="20"/>
        <v>0</v>
      </c>
      <c r="Z107">
        <f t="shared" si="22"/>
        <v>0</v>
      </c>
      <c r="AA107">
        <f t="shared" si="21"/>
        <v>0</v>
      </c>
    </row>
    <row r="108" ht="16.5" hidden="1" spans="1:30">
      <c r="A108" s="5">
        <v>40</v>
      </c>
      <c r="B108" s="5" t="s">
        <v>31</v>
      </c>
      <c r="C108" s="6" t="s">
        <v>32</v>
      </c>
      <c r="D108" s="6">
        <v>16</v>
      </c>
      <c r="E108" s="20">
        <v>2000</v>
      </c>
      <c r="F108" s="6">
        <v>7280</v>
      </c>
      <c r="G108" s="8" t="s">
        <v>33</v>
      </c>
      <c r="H108" s="5">
        <v>1</v>
      </c>
      <c r="I108" s="9">
        <f t="shared" si="18"/>
        <v>1828.736</v>
      </c>
      <c r="J108" s="13" t="s">
        <v>11</v>
      </c>
      <c r="K108" s="48" t="s">
        <v>84</v>
      </c>
      <c r="L108" s="48"/>
      <c r="M108" s="49" t="s">
        <v>325</v>
      </c>
      <c r="N108" s="48"/>
      <c r="O108" s="48"/>
      <c r="P108" s="48"/>
      <c r="Q108" s="48"/>
      <c r="R108" s="48"/>
      <c r="S108" s="48"/>
      <c r="T108" s="48"/>
      <c r="U108" s="59">
        <f t="shared" si="19"/>
        <v>0</v>
      </c>
      <c r="V108" s="48">
        <f t="shared" si="23"/>
        <v>1</v>
      </c>
      <c r="W108" s="49" t="s">
        <v>325</v>
      </c>
      <c r="X108" s="58">
        <f t="shared" si="20"/>
        <v>7280</v>
      </c>
      <c r="Z108">
        <f t="shared" si="22"/>
        <v>1828.736</v>
      </c>
      <c r="AA108">
        <f t="shared" si="21"/>
        <v>0</v>
      </c>
      <c r="AD108">
        <f>340*3+482*2</f>
        <v>1984</v>
      </c>
    </row>
    <row r="109" ht="16.5" hidden="1" spans="1:27">
      <c r="A109" s="5">
        <v>49</v>
      </c>
      <c r="B109" s="5" t="s">
        <v>31</v>
      </c>
      <c r="C109" s="6" t="s">
        <v>32</v>
      </c>
      <c r="D109" s="6">
        <v>16</v>
      </c>
      <c r="E109" s="7">
        <v>2000</v>
      </c>
      <c r="F109" s="6">
        <v>7420</v>
      </c>
      <c r="G109" s="8" t="s">
        <v>33</v>
      </c>
      <c r="H109" s="5">
        <v>10</v>
      </c>
      <c r="I109" s="9">
        <f t="shared" si="18"/>
        <v>18639.04</v>
      </c>
      <c r="J109" s="13" t="s">
        <v>11</v>
      </c>
      <c r="K109" s="48" t="s">
        <v>78</v>
      </c>
      <c r="L109" s="48"/>
      <c r="M109" s="49" t="s">
        <v>325</v>
      </c>
      <c r="N109" s="48"/>
      <c r="O109" s="48"/>
      <c r="P109" s="48"/>
      <c r="Q109" s="48"/>
      <c r="R109" s="48"/>
      <c r="S109" s="48"/>
      <c r="T109" s="48"/>
      <c r="U109" s="59">
        <f t="shared" si="19"/>
        <v>0</v>
      </c>
      <c r="V109" s="48">
        <f t="shared" si="23"/>
        <v>10</v>
      </c>
      <c r="W109" s="49" t="s">
        <v>325</v>
      </c>
      <c r="X109" s="58">
        <f t="shared" si="20"/>
        <v>74200</v>
      </c>
      <c r="Z109">
        <f t="shared" si="22"/>
        <v>18639.04</v>
      </c>
      <c r="AA109">
        <f t="shared" si="21"/>
        <v>0</v>
      </c>
    </row>
    <row r="110" ht="16.5" hidden="1" spans="1:27">
      <c r="A110" s="5">
        <v>50</v>
      </c>
      <c r="B110" s="5" t="s">
        <v>31</v>
      </c>
      <c r="C110" s="6" t="s">
        <v>32</v>
      </c>
      <c r="D110" s="6">
        <v>16</v>
      </c>
      <c r="E110" s="10">
        <v>2000</v>
      </c>
      <c r="F110" s="61">
        <v>7420</v>
      </c>
      <c r="G110" s="8" t="s">
        <v>33</v>
      </c>
      <c r="H110" s="10">
        <v>1</v>
      </c>
      <c r="I110" s="9">
        <f t="shared" si="18"/>
        <v>1863.904</v>
      </c>
      <c r="J110" s="13" t="s">
        <v>11</v>
      </c>
      <c r="K110" s="48" t="s">
        <v>84</v>
      </c>
      <c r="L110" s="48" t="s">
        <v>328</v>
      </c>
      <c r="M110" s="49" t="s">
        <v>78</v>
      </c>
      <c r="N110" s="62" t="s">
        <v>330</v>
      </c>
      <c r="O110" s="54" t="s">
        <v>331</v>
      </c>
      <c r="P110" s="48">
        <v>1</v>
      </c>
      <c r="Q110" s="48"/>
      <c r="R110" s="48"/>
      <c r="S110" s="48"/>
      <c r="T110" s="48"/>
      <c r="U110" s="59">
        <f t="shared" si="19"/>
        <v>1863.904</v>
      </c>
      <c r="V110" s="48">
        <f t="shared" si="23"/>
        <v>0</v>
      </c>
      <c r="W110" s="49" t="s">
        <v>325</v>
      </c>
      <c r="X110" s="58">
        <f t="shared" si="20"/>
        <v>0</v>
      </c>
      <c r="Z110">
        <f t="shared" si="22"/>
        <v>0</v>
      </c>
      <c r="AA110">
        <f t="shared" si="21"/>
        <v>0</v>
      </c>
    </row>
    <row r="111" ht="16.5" hidden="1" spans="1:27">
      <c r="A111" s="5">
        <v>50</v>
      </c>
      <c r="B111" s="5" t="s">
        <v>31</v>
      </c>
      <c r="C111" s="6" t="s">
        <v>32</v>
      </c>
      <c r="D111" s="6">
        <v>16</v>
      </c>
      <c r="E111" s="7">
        <v>2000</v>
      </c>
      <c r="F111" s="61">
        <v>7430</v>
      </c>
      <c r="G111" s="8" t="s">
        <v>33</v>
      </c>
      <c r="H111" s="10">
        <v>1</v>
      </c>
      <c r="I111" s="9">
        <f t="shared" si="18"/>
        <v>1866.416</v>
      </c>
      <c r="J111" s="13" t="s">
        <v>11</v>
      </c>
      <c r="K111" s="48" t="s">
        <v>78</v>
      </c>
      <c r="L111" s="48" t="s">
        <v>328</v>
      </c>
      <c r="M111" s="49" t="s">
        <v>330</v>
      </c>
      <c r="N111" s="62" t="s">
        <v>330</v>
      </c>
      <c r="O111" s="54" t="s">
        <v>332</v>
      </c>
      <c r="P111" s="48">
        <v>1</v>
      </c>
      <c r="Q111" s="48"/>
      <c r="R111" s="48"/>
      <c r="S111" s="48"/>
      <c r="T111" s="48"/>
      <c r="U111" s="59">
        <f t="shared" si="19"/>
        <v>1866.416</v>
      </c>
      <c r="V111" s="48">
        <f t="shared" si="23"/>
        <v>0</v>
      </c>
      <c r="W111" s="49" t="s">
        <v>325</v>
      </c>
      <c r="X111" s="58">
        <f t="shared" si="20"/>
        <v>0</v>
      </c>
      <c r="Z111">
        <f t="shared" si="22"/>
        <v>0</v>
      </c>
      <c r="AA111">
        <f t="shared" si="21"/>
        <v>0</v>
      </c>
    </row>
    <row r="112" ht="16.5" hidden="1" spans="1:27">
      <c r="A112" s="5">
        <v>38</v>
      </c>
      <c r="B112" s="5" t="s">
        <v>31</v>
      </c>
      <c r="C112" s="6" t="s">
        <v>32</v>
      </c>
      <c r="D112" s="6">
        <v>16</v>
      </c>
      <c r="E112" s="7">
        <v>2000</v>
      </c>
      <c r="F112" s="61">
        <v>7430</v>
      </c>
      <c r="G112" s="8" t="s">
        <v>33</v>
      </c>
      <c r="H112" s="10">
        <v>3</v>
      </c>
      <c r="I112" s="9">
        <f t="shared" si="18"/>
        <v>5599.248</v>
      </c>
      <c r="J112" s="13" t="s">
        <v>11</v>
      </c>
      <c r="K112" s="48" t="s">
        <v>89</v>
      </c>
      <c r="L112" s="48" t="s">
        <v>328</v>
      </c>
      <c r="M112" s="49" t="s">
        <v>333</v>
      </c>
      <c r="N112" s="63" t="s">
        <v>333</v>
      </c>
      <c r="O112" s="54" t="s">
        <v>334</v>
      </c>
      <c r="P112" s="64">
        <v>3</v>
      </c>
      <c r="Q112" s="54" t="s">
        <v>335</v>
      </c>
      <c r="R112" s="48"/>
      <c r="S112" s="54" t="s">
        <v>336</v>
      </c>
      <c r="T112" s="48"/>
      <c r="U112" s="59">
        <f t="shared" si="19"/>
        <v>5599.248</v>
      </c>
      <c r="V112" s="48">
        <f t="shared" si="23"/>
        <v>0</v>
      </c>
      <c r="W112" s="49" t="s">
        <v>325</v>
      </c>
      <c r="X112" s="58">
        <f t="shared" si="20"/>
        <v>0</v>
      </c>
      <c r="Z112">
        <f t="shared" si="22"/>
        <v>0</v>
      </c>
      <c r="AA112">
        <f t="shared" si="21"/>
        <v>0</v>
      </c>
    </row>
    <row r="113" ht="16.5" hidden="1" spans="1:27">
      <c r="A113" s="5">
        <v>51</v>
      </c>
      <c r="B113" s="5" t="s">
        <v>31</v>
      </c>
      <c r="C113" s="6" t="s">
        <v>32</v>
      </c>
      <c r="D113" s="6">
        <v>16</v>
      </c>
      <c r="E113" s="7">
        <v>2000</v>
      </c>
      <c r="F113" s="61">
        <v>7440</v>
      </c>
      <c r="G113" s="8" t="s">
        <v>33</v>
      </c>
      <c r="H113" s="10">
        <v>1</v>
      </c>
      <c r="I113" s="9">
        <f t="shared" si="18"/>
        <v>1868.928</v>
      </c>
      <c r="J113" s="13" t="s">
        <v>11</v>
      </c>
      <c r="K113" s="48" t="s">
        <v>78</v>
      </c>
      <c r="L113" s="48" t="s">
        <v>328</v>
      </c>
      <c r="M113" s="49" t="s">
        <v>330</v>
      </c>
      <c r="N113" s="62" t="s">
        <v>89</v>
      </c>
      <c r="O113" s="54" t="s">
        <v>337</v>
      </c>
      <c r="P113" s="48">
        <v>1</v>
      </c>
      <c r="Q113" s="48"/>
      <c r="R113" s="48"/>
      <c r="S113" s="48"/>
      <c r="T113" s="48"/>
      <c r="U113" s="59">
        <f t="shared" si="19"/>
        <v>1868.928</v>
      </c>
      <c r="V113" s="48">
        <f t="shared" si="23"/>
        <v>0</v>
      </c>
      <c r="W113" s="49" t="s">
        <v>325</v>
      </c>
      <c r="X113" s="58">
        <f t="shared" si="20"/>
        <v>0</v>
      </c>
      <c r="Z113">
        <f t="shared" si="22"/>
        <v>0</v>
      </c>
      <c r="AA113">
        <f t="shared" si="21"/>
        <v>0</v>
      </c>
    </row>
    <row r="114" ht="16.5" hidden="1" spans="1:27">
      <c r="A114" s="5">
        <v>51</v>
      </c>
      <c r="B114" s="5" t="s">
        <v>31</v>
      </c>
      <c r="C114" s="6" t="s">
        <v>32</v>
      </c>
      <c r="D114" s="6">
        <v>16</v>
      </c>
      <c r="E114" s="10">
        <v>2000</v>
      </c>
      <c r="F114" s="61">
        <v>7440</v>
      </c>
      <c r="G114" s="8" t="s">
        <v>33</v>
      </c>
      <c r="H114" s="10">
        <v>2</v>
      </c>
      <c r="I114" s="9">
        <f t="shared" si="18"/>
        <v>3737.856</v>
      </c>
      <c r="J114" s="13" t="s">
        <v>11</v>
      </c>
      <c r="K114" s="48" t="s">
        <v>84</v>
      </c>
      <c r="L114" s="48" t="s">
        <v>328</v>
      </c>
      <c r="M114" s="49" t="s">
        <v>338</v>
      </c>
      <c r="N114" s="62" t="s">
        <v>339</v>
      </c>
      <c r="O114" s="54" t="s">
        <v>340</v>
      </c>
      <c r="P114" s="48">
        <v>1</v>
      </c>
      <c r="Q114" s="48"/>
      <c r="R114" s="48"/>
      <c r="S114" s="48"/>
      <c r="T114" s="48"/>
      <c r="U114" s="59">
        <f t="shared" si="19"/>
        <v>1868.928</v>
      </c>
      <c r="V114" s="48">
        <f t="shared" si="23"/>
        <v>1</v>
      </c>
      <c r="W114" s="49" t="s">
        <v>325</v>
      </c>
      <c r="X114" s="58">
        <f t="shared" si="20"/>
        <v>7440</v>
      </c>
      <c r="Z114">
        <f t="shared" si="22"/>
        <v>1868.928</v>
      </c>
      <c r="AA114">
        <f t="shared" si="21"/>
        <v>0</v>
      </c>
    </row>
    <row r="115" ht="16.5" hidden="1" spans="1:27">
      <c r="A115" s="5">
        <v>39</v>
      </c>
      <c r="B115" s="5" t="s">
        <v>31</v>
      </c>
      <c r="C115" s="6" t="s">
        <v>32</v>
      </c>
      <c r="D115" s="6">
        <v>16</v>
      </c>
      <c r="E115" s="7">
        <v>2000</v>
      </c>
      <c r="F115" s="6">
        <v>7440</v>
      </c>
      <c r="G115" s="8" t="s">
        <v>33</v>
      </c>
      <c r="H115" s="5">
        <v>3</v>
      </c>
      <c r="I115" s="9">
        <f t="shared" si="18"/>
        <v>5606.784</v>
      </c>
      <c r="J115" s="13" t="s">
        <v>11</v>
      </c>
      <c r="K115" s="48" t="s">
        <v>89</v>
      </c>
      <c r="L115" s="48"/>
      <c r="M115" s="49"/>
      <c r="N115" s="48"/>
      <c r="O115" s="48"/>
      <c r="P115" s="48"/>
      <c r="Q115" s="48"/>
      <c r="R115" s="48"/>
      <c r="S115" s="48"/>
      <c r="T115" s="48"/>
      <c r="U115" s="59">
        <f t="shared" si="19"/>
        <v>0</v>
      </c>
      <c r="V115" s="48">
        <f t="shared" si="23"/>
        <v>3</v>
      </c>
      <c r="W115" s="49" t="s">
        <v>325</v>
      </c>
      <c r="X115" s="58">
        <f t="shared" si="20"/>
        <v>22320</v>
      </c>
      <c r="Z115">
        <f t="shared" si="22"/>
        <v>5606.784</v>
      </c>
      <c r="AA115">
        <f t="shared" si="21"/>
        <v>0</v>
      </c>
    </row>
    <row r="116" ht="16.5" hidden="1" spans="1:27">
      <c r="A116" s="5">
        <v>23</v>
      </c>
      <c r="B116" s="5" t="s">
        <v>31</v>
      </c>
      <c r="C116" s="6" t="s">
        <v>32</v>
      </c>
      <c r="D116" s="6">
        <v>16</v>
      </c>
      <c r="E116" s="7">
        <v>2000</v>
      </c>
      <c r="F116" s="61">
        <v>7490</v>
      </c>
      <c r="G116" s="8" t="s">
        <v>33</v>
      </c>
      <c r="H116" s="10">
        <v>1</v>
      </c>
      <c r="I116" s="9">
        <f t="shared" si="18"/>
        <v>1881.488</v>
      </c>
      <c r="J116" s="13" t="s">
        <v>11</v>
      </c>
      <c r="K116" s="48" t="s">
        <v>89</v>
      </c>
      <c r="L116" s="48" t="s">
        <v>328</v>
      </c>
      <c r="M116" s="49" t="s">
        <v>89</v>
      </c>
      <c r="N116" s="62" t="s">
        <v>339</v>
      </c>
      <c r="O116" s="54" t="s">
        <v>341</v>
      </c>
      <c r="P116" s="48">
        <v>1</v>
      </c>
      <c r="Q116" s="48"/>
      <c r="R116" s="48"/>
      <c r="S116" s="48"/>
      <c r="T116" s="48"/>
      <c r="U116" s="59">
        <f t="shared" si="19"/>
        <v>1881.488</v>
      </c>
      <c r="V116" s="48">
        <f t="shared" si="23"/>
        <v>0</v>
      </c>
      <c r="W116" s="49" t="s">
        <v>325</v>
      </c>
      <c r="X116" s="58">
        <f t="shared" si="20"/>
        <v>0</v>
      </c>
      <c r="Z116">
        <f t="shared" si="22"/>
        <v>0</v>
      </c>
      <c r="AA116">
        <f t="shared" si="21"/>
        <v>0</v>
      </c>
    </row>
    <row r="117" ht="16.5" hidden="1" spans="1:27">
      <c r="A117" s="5">
        <v>36</v>
      </c>
      <c r="B117" s="5" t="s">
        <v>31</v>
      </c>
      <c r="C117" s="6" t="s">
        <v>32</v>
      </c>
      <c r="D117" s="6">
        <v>16</v>
      </c>
      <c r="E117" s="7">
        <v>2000</v>
      </c>
      <c r="F117" s="61">
        <v>7520</v>
      </c>
      <c r="G117" s="8" t="s">
        <v>33</v>
      </c>
      <c r="H117" s="10">
        <v>1</v>
      </c>
      <c r="I117" s="9">
        <f t="shared" si="18"/>
        <v>1889.024</v>
      </c>
      <c r="J117" s="13" t="s">
        <v>11</v>
      </c>
      <c r="K117" s="48" t="s">
        <v>78</v>
      </c>
      <c r="L117" s="48" t="s">
        <v>328</v>
      </c>
      <c r="M117" s="49" t="s">
        <v>339</v>
      </c>
      <c r="N117" s="62" t="s">
        <v>89</v>
      </c>
      <c r="O117" s="54" t="s">
        <v>342</v>
      </c>
      <c r="P117" s="48">
        <v>1</v>
      </c>
      <c r="Q117" s="48"/>
      <c r="R117" s="48"/>
      <c r="S117" s="48"/>
      <c r="T117" s="48"/>
      <c r="U117" s="59">
        <f t="shared" si="19"/>
        <v>1889.024</v>
      </c>
      <c r="V117" s="48">
        <f t="shared" si="23"/>
        <v>0</v>
      </c>
      <c r="W117" s="49" t="s">
        <v>325</v>
      </c>
      <c r="X117" s="58">
        <f t="shared" si="20"/>
        <v>0</v>
      </c>
      <c r="Z117">
        <f t="shared" si="22"/>
        <v>0</v>
      </c>
      <c r="AA117">
        <f t="shared" si="21"/>
        <v>0</v>
      </c>
    </row>
    <row r="118" ht="16.5" hidden="1" spans="1:27">
      <c r="A118" s="5">
        <v>38</v>
      </c>
      <c r="B118" s="5" t="s">
        <v>31</v>
      </c>
      <c r="C118" s="6" t="s">
        <v>32</v>
      </c>
      <c r="D118" s="6">
        <v>16</v>
      </c>
      <c r="E118" s="7">
        <v>2000</v>
      </c>
      <c r="F118" s="61">
        <v>7530</v>
      </c>
      <c r="G118" s="8" t="s">
        <v>33</v>
      </c>
      <c r="H118" s="10">
        <v>1</v>
      </c>
      <c r="I118" s="9">
        <f t="shared" si="18"/>
        <v>1891.536</v>
      </c>
      <c r="J118" s="13" t="s">
        <v>11</v>
      </c>
      <c r="K118" s="48" t="s">
        <v>78</v>
      </c>
      <c r="L118" s="48" t="s">
        <v>328</v>
      </c>
      <c r="M118" s="49" t="s">
        <v>89</v>
      </c>
      <c r="N118" s="62" t="s">
        <v>339</v>
      </c>
      <c r="O118" s="54" t="s">
        <v>343</v>
      </c>
      <c r="P118" s="48">
        <v>1</v>
      </c>
      <c r="Q118" s="48"/>
      <c r="R118" s="48"/>
      <c r="S118" s="48"/>
      <c r="T118" s="48"/>
      <c r="U118" s="59">
        <f t="shared" si="19"/>
        <v>1891.536</v>
      </c>
      <c r="V118" s="48">
        <f t="shared" si="23"/>
        <v>0</v>
      </c>
      <c r="W118" s="49" t="s">
        <v>325</v>
      </c>
      <c r="X118" s="58">
        <f t="shared" si="20"/>
        <v>0</v>
      </c>
      <c r="Z118">
        <f t="shared" si="22"/>
        <v>0</v>
      </c>
      <c r="AA118">
        <f t="shared" si="21"/>
        <v>0</v>
      </c>
    </row>
    <row r="119" ht="16.5" hidden="1" spans="1:27">
      <c r="A119" s="5">
        <v>40</v>
      </c>
      <c r="B119" s="5" t="s">
        <v>31</v>
      </c>
      <c r="C119" s="6" t="s">
        <v>32</v>
      </c>
      <c r="D119" s="6">
        <v>16</v>
      </c>
      <c r="E119" s="7">
        <v>2000</v>
      </c>
      <c r="F119" s="61">
        <v>7550</v>
      </c>
      <c r="G119" s="8" t="s">
        <v>33</v>
      </c>
      <c r="H119" s="10">
        <v>1</v>
      </c>
      <c r="I119" s="9">
        <f t="shared" si="18"/>
        <v>1896.56</v>
      </c>
      <c r="J119" s="13" t="s">
        <v>11</v>
      </c>
      <c r="K119" s="48" t="s">
        <v>89</v>
      </c>
      <c r="L119" s="48" t="s">
        <v>328</v>
      </c>
      <c r="M119" s="49" t="s">
        <v>89</v>
      </c>
      <c r="N119" s="62" t="s">
        <v>330</v>
      </c>
      <c r="O119" s="54" t="s">
        <v>344</v>
      </c>
      <c r="P119" s="48">
        <v>1</v>
      </c>
      <c r="Q119" s="48"/>
      <c r="R119" s="48"/>
      <c r="S119" s="48"/>
      <c r="T119" s="48"/>
      <c r="U119" s="59">
        <f t="shared" si="19"/>
        <v>1896.56</v>
      </c>
      <c r="V119" s="48">
        <f t="shared" si="23"/>
        <v>0</v>
      </c>
      <c r="W119" s="49" t="s">
        <v>325</v>
      </c>
      <c r="X119" s="58">
        <f t="shared" si="20"/>
        <v>0</v>
      </c>
      <c r="Y119">
        <f>SUM(X101:X118)</f>
        <v>138870</v>
      </c>
      <c r="Z119">
        <f t="shared" si="22"/>
        <v>0</v>
      </c>
      <c r="AA119">
        <f t="shared" si="21"/>
        <v>0</v>
      </c>
    </row>
    <row r="120" ht="16.5" hidden="1" spans="1:27">
      <c r="A120" s="5">
        <v>41</v>
      </c>
      <c r="B120" s="5" t="s">
        <v>31</v>
      </c>
      <c r="C120" s="6" t="s">
        <v>32</v>
      </c>
      <c r="D120" s="6">
        <v>16</v>
      </c>
      <c r="E120" s="49">
        <v>2000</v>
      </c>
      <c r="F120" s="6">
        <v>7600</v>
      </c>
      <c r="G120" s="8" t="s">
        <v>33</v>
      </c>
      <c r="H120" s="5">
        <v>1</v>
      </c>
      <c r="I120" s="9">
        <f t="shared" si="18"/>
        <v>1909.12</v>
      </c>
      <c r="J120" s="13" t="s">
        <v>11</v>
      </c>
      <c r="K120" s="48" t="s">
        <v>78</v>
      </c>
      <c r="L120" s="48"/>
      <c r="M120" s="49" t="s">
        <v>345</v>
      </c>
      <c r="N120" s="48"/>
      <c r="O120" s="48"/>
      <c r="P120" s="48"/>
      <c r="Q120" s="48"/>
      <c r="R120" s="48"/>
      <c r="S120" s="48"/>
      <c r="T120" s="48"/>
      <c r="U120" s="59">
        <f t="shared" si="19"/>
        <v>0</v>
      </c>
      <c r="V120" s="48">
        <f t="shared" si="23"/>
        <v>1</v>
      </c>
      <c r="W120" s="49" t="s">
        <v>345</v>
      </c>
      <c r="X120" s="58">
        <f t="shared" si="20"/>
        <v>7600</v>
      </c>
      <c r="Z120">
        <f t="shared" si="22"/>
        <v>1909.12</v>
      </c>
      <c r="AA120">
        <f t="shared" si="21"/>
        <v>0</v>
      </c>
    </row>
    <row r="121" ht="16.5" hidden="1" spans="1:27">
      <c r="A121" s="5">
        <v>42</v>
      </c>
      <c r="B121" s="5" t="s">
        <v>31</v>
      </c>
      <c r="C121" s="6" t="s">
        <v>32</v>
      </c>
      <c r="D121" s="6">
        <v>16</v>
      </c>
      <c r="E121" s="49">
        <v>2000</v>
      </c>
      <c r="F121" s="6">
        <v>7600</v>
      </c>
      <c r="G121" s="8" t="s">
        <v>33</v>
      </c>
      <c r="H121" s="5">
        <v>2</v>
      </c>
      <c r="I121" s="9">
        <f t="shared" si="18"/>
        <v>3818.24</v>
      </c>
      <c r="J121" s="13" t="s">
        <v>11</v>
      </c>
      <c r="K121" s="48" t="s">
        <v>78</v>
      </c>
      <c r="L121" s="48"/>
      <c r="M121" s="49" t="s">
        <v>345</v>
      </c>
      <c r="N121" s="48"/>
      <c r="O121" s="48"/>
      <c r="P121" s="48"/>
      <c r="Q121" s="48"/>
      <c r="R121" s="48"/>
      <c r="S121" s="48"/>
      <c r="T121" s="48"/>
      <c r="U121" s="59">
        <f t="shared" si="19"/>
        <v>0</v>
      </c>
      <c r="V121" s="48">
        <f t="shared" si="23"/>
        <v>2</v>
      </c>
      <c r="W121" s="49" t="s">
        <v>345</v>
      </c>
      <c r="X121" s="58">
        <f t="shared" si="20"/>
        <v>15200</v>
      </c>
      <c r="Z121">
        <f t="shared" si="22"/>
        <v>3818.24</v>
      </c>
      <c r="AA121">
        <f t="shared" si="21"/>
        <v>0</v>
      </c>
    </row>
    <row r="122" ht="16.5" hidden="1" spans="1:27">
      <c r="A122" s="5">
        <v>43</v>
      </c>
      <c r="B122" s="5" t="s">
        <v>31</v>
      </c>
      <c r="C122" s="6" t="s">
        <v>32</v>
      </c>
      <c r="D122" s="6">
        <v>16</v>
      </c>
      <c r="E122" s="7">
        <v>2000</v>
      </c>
      <c r="F122" s="6">
        <v>7630</v>
      </c>
      <c r="G122" s="8" t="s">
        <v>33</v>
      </c>
      <c r="H122" s="5">
        <v>6</v>
      </c>
      <c r="I122" s="9">
        <f t="shared" si="18"/>
        <v>11499.936</v>
      </c>
      <c r="J122" s="13" t="s">
        <v>11</v>
      </c>
      <c r="K122" s="48" t="s">
        <v>78</v>
      </c>
      <c r="L122" s="48"/>
      <c r="M122" s="49" t="s">
        <v>345</v>
      </c>
      <c r="N122" s="48"/>
      <c r="O122" s="48"/>
      <c r="P122" s="48"/>
      <c r="Q122" s="48"/>
      <c r="R122" s="48"/>
      <c r="S122" s="48"/>
      <c r="T122" s="48"/>
      <c r="U122" s="59">
        <f t="shared" si="19"/>
        <v>0</v>
      </c>
      <c r="V122" s="48">
        <f t="shared" si="23"/>
        <v>6</v>
      </c>
      <c r="W122" s="49" t="s">
        <v>345</v>
      </c>
      <c r="X122" s="58">
        <f t="shared" si="20"/>
        <v>45780</v>
      </c>
      <c r="Z122">
        <f t="shared" si="22"/>
        <v>11499.936</v>
      </c>
      <c r="AA122">
        <f t="shared" si="21"/>
        <v>0</v>
      </c>
    </row>
    <row r="123" ht="16.5" hidden="1" spans="1:27">
      <c r="A123" s="5">
        <v>25</v>
      </c>
      <c r="B123" s="5" t="s">
        <v>31</v>
      </c>
      <c r="C123" s="6" t="s">
        <v>32</v>
      </c>
      <c r="D123" s="6">
        <v>16</v>
      </c>
      <c r="E123" s="49">
        <v>2000</v>
      </c>
      <c r="F123" s="6">
        <v>7630</v>
      </c>
      <c r="G123" s="8" t="s">
        <v>33</v>
      </c>
      <c r="H123" s="5">
        <v>1</v>
      </c>
      <c r="I123" s="9">
        <f t="shared" si="18"/>
        <v>1916.656</v>
      </c>
      <c r="J123" s="13" t="s">
        <v>36</v>
      </c>
      <c r="K123" s="48" t="s">
        <v>89</v>
      </c>
      <c r="L123" s="48"/>
      <c r="M123" s="49" t="s">
        <v>345</v>
      </c>
      <c r="N123" s="48"/>
      <c r="O123" s="48"/>
      <c r="P123" s="48"/>
      <c r="Q123" s="48"/>
      <c r="R123" s="48"/>
      <c r="S123" s="48"/>
      <c r="T123" s="48"/>
      <c r="U123" s="59">
        <f t="shared" si="19"/>
        <v>0</v>
      </c>
      <c r="V123" s="48">
        <f t="shared" si="23"/>
        <v>1</v>
      </c>
      <c r="W123" s="49" t="s">
        <v>345</v>
      </c>
      <c r="X123" s="58">
        <f t="shared" si="20"/>
        <v>7630</v>
      </c>
      <c r="Z123">
        <f t="shared" si="22"/>
        <v>1916.656</v>
      </c>
      <c r="AA123">
        <f t="shared" si="21"/>
        <v>0</v>
      </c>
    </row>
    <row r="124" ht="16.5" hidden="1" spans="1:27">
      <c r="A124" s="5">
        <v>34</v>
      </c>
      <c r="B124" s="5" t="s">
        <v>31</v>
      </c>
      <c r="C124" s="6" t="s">
        <v>32</v>
      </c>
      <c r="D124" s="6">
        <v>16</v>
      </c>
      <c r="E124" s="49">
        <v>2000</v>
      </c>
      <c r="F124" s="6">
        <v>7650</v>
      </c>
      <c r="G124" s="8" t="s">
        <v>33</v>
      </c>
      <c r="H124" s="5">
        <v>1</v>
      </c>
      <c r="I124" s="9">
        <f t="shared" si="18"/>
        <v>1921.68</v>
      </c>
      <c r="J124" s="5" t="s">
        <v>35</v>
      </c>
      <c r="K124" s="48" t="s">
        <v>72</v>
      </c>
      <c r="L124" s="48"/>
      <c r="M124" s="7">
        <v>8</v>
      </c>
      <c r="N124" s="48" t="s">
        <v>307</v>
      </c>
      <c r="O124" s="54" t="s">
        <v>346</v>
      </c>
      <c r="P124" s="33">
        <v>1</v>
      </c>
      <c r="Q124" s="48"/>
      <c r="R124" s="48"/>
      <c r="S124" s="48"/>
      <c r="T124" s="48"/>
      <c r="U124" s="59">
        <f t="shared" si="19"/>
        <v>1921.68</v>
      </c>
      <c r="V124" s="48">
        <f t="shared" si="23"/>
        <v>0</v>
      </c>
      <c r="W124" s="49" t="s">
        <v>345</v>
      </c>
      <c r="X124" s="58">
        <f t="shared" si="20"/>
        <v>0</v>
      </c>
      <c r="Z124">
        <f t="shared" si="22"/>
        <v>0</v>
      </c>
      <c r="AA124">
        <f t="shared" si="21"/>
        <v>0</v>
      </c>
    </row>
    <row r="125" ht="16.5" hidden="1" spans="1:27">
      <c r="A125" s="5">
        <v>37</v>
      </c>
      <c r="B125" s="5" t="s">
        <v>31</v>
      </c>
      <c r="C125" s="6" t="s">
        <v>32</v>
      </c>
      <c r="D125" s="6">
        <v>16</v>
      </c>
      <c r="E125" s="49">
        <v>2000</v>
      </c>
      <c r="F125" s="6">
        <v>7670</v>
      </c>
      <c r="G125" s="8" t="s">
        <v>33</v>
      </c>
      <c r="H125" s="5">
        <v>1</v>
      </c>
      <c r="I125" s="9">
        <f t="shared" si="18"/>
        <v>1926.704</v>
      </c>
      <c r="J125" s="13" t="s">
        <v>35</v>
      </c>
      <c r="K125" s="48" t="s">
        <v>78</v>
      </c>
      <c r="L125" s="48"/>
      <c r="M125" s="49" t="s">
        <v>345</v>
      </c>
      <c r="N125" s="48"/>
      <c r="O125" s="48"/>
      <c r="P125" s="48"/>
      <c r="Q125" s="48"/>
      <c r="R125" s="48"/>
      <c r="S125" s="48"/>
      <c r="T125" s="48"/>
      <c r="U125" s="59">
        <f t="shared" si="19"/>
        <v>0</v>
      </c>
      <c r="V125" s="48">
        <f t="shared" si="23"/>
        <v>1</v>
      </c>
      <c r="W125" s="49" t="s">
        <v>345</v>
      </c>
      <c r="X125" s="58">
        <f t="shared" si="20"/>
        <v>7670</v>
      </c>
      <c r="Z125">
        <f t="shared" si="22"/>
        <v>1926.704</v>
      </c>
      <c r="AA125">
        <f t="shared" si="21"/>
        <v>0</v>
      </c>
    </row>
    <row r="126" ht="16.5" hidden="1" spans="1:27">
      <c r="A126" s="5">
        <v>39</v>
      </c>
      <c r="B126" s="5" t="s">
        <v>31</v>
      </c>
      <c r="C126" s="6" t="s">
        <v>32</v>
      </c>
      <c r="D126" s="6">
        <v>16</v>
      </c>
      <c r="E126" s="49">
        <v>2000</v>
      </c>
      <c r="F126" s="6">
        <v>7670</v>
      </c>
      <c r="G126" s="8" t="s">
        <v>33</v>
      </c>
      <c r="H126" s="5">
        <v>1</v>
      </c>
      <c r="I126" s="9">
        <f t="shared" si="18"/>
        <v>1926.704</v>
      </c>
      <c r="J126" s="13" t="s">
        <v>35</v>
      </c>
      <c r="K126" s="48" t="s">
        <v>78</v>
      </c>
      <c r="L126" s="48"/>
      <c r="M126" s="49" t="s">
        <v>345</v>
      </c>
      <c r="N126" s="48"/>
      <c r="O126" s="48"/>
      <c r="P126" s="48"/>
      <c r="Q126" s="48"/>
      <c r="R126" s="48"/>
      <c r="S126" s="48"/>
      <c r="T126" s="48"/>
      <c r="U126" s="59">
        <f t="shared" si="19"/>
        <v>0</v>
      </c>
      <c r="V126" s="48">
        <f t="shared" si="23"/>
        <v>1</v>
      </c>
      <c r="W126" s="49" t="s">
        <v>345</v>
      </c>
      <c r="X126" s="58">
        <f t="shared" si="20"/>
        <v>7670</v>
      </c>
      <c r="Z126">
        <f t="shared" si="22"/>
        <v>1926.704</v>
      </c>
      <c r="AA126">
        <f t="shared" si="21"/>
        <v>0</v>
      </c>
    </row>
    <row r="127" ht="16.5" hidden="1" spans="1:27">
      <c r="A127" s="5">
        <v>32</v>
      </c>
      <c r="B127" s="5" t="s">
        <v>31</v>
      </c>
      <c r="C127" s="6" t="s">
        <v>32</v>
      </c>
      <c r="D127" s="6">
        <v>16</v>
      </c>
      <c r="E127" s="49">
        <v>2000</v>
      </c>
      <c r="F127" s="6">
        <v>7670</v>
      </c>
      <c r="G127" s="8" t="s">
        <v>33</v>
      </c>
      <c r="H127" s="5">
        <v>1</v>
      </c>
      <c r="I127" s="9">
        <f t="shared" si="18"/>
        <v>1926.704</v>
      </c>
      <c r="J127" s="13" t="s">
        <v>36</v>
      </c>
      <c r="K127" s="48" t="s">
        <v>89</v>
      </c>
      <c r="L127" s="48"/>
      <c r="M127" s="49" t="s">
        <v>345</v>
      </c>
      <c r="N127" s="48"/>
      <c r="O127" s="48"/>
      <c r="P127" s="48"/>
      <c r="Q127" s="48"/>
      <c r="R127" s="48"/>
      <c r="S127" s="48"/>
      <c r="T127" s="48"/>
      <c r="U127" s="59">
        <f t="shared" si="19"/>
        <v>0</v>
      </c>
      <c r="V127" s="48">
        <f t="shared" si="23"/>
        <v>1</v>
      </c>
      <c r="W127" s="49" t="s">
        <v>345</v>
      </c>
      <c r="X127" s="58">
        <f t="shared" si="20"/>
        <v>7670</v>
      </c>
      <c r="Z127">
        <f t="shared" si="22"/>
        <v>1926.704</v>
      </c>
      <c r="AA127">
        <f t="shared" si="21"/>
        <v>0</v>
      </c>
    </row>
    <row r="128" ht="16.5" spans="1:27">
      <c r="A128" s="5">
        <v>28</v>
      </c>
      <c r="B128" s="5" t="s">
        <v>31</v>
      </c>
      <c r="C128" s="6" t="s">
        <v>32</v>
      </c>
      <c r="D128" s="6">
        <v>16</v>
      </c>
      <c r="E128" s="7">
        <v>2000</v>
      </c>
      <c r="F128" s="61">
        <v>7690</v>
      </c>
      <c r="G128" s="8" t="s">
        <v>33</v>
      </c>
      <c r="H128" s="10">
        <v>1</v>
      </c>
      <c r="I128" s="9">
        <f t="shared" si="18"/>
        <v>1931.728</v>
      </c>
      <c r="J128" s="13" t="s">
        <v>11</v>
      </c>
      <c r="K128" s="48" t="s">
        <v>89</v>
      </c>
      <c r="L128" s="48" t="s">
        <v>328</v>
      </c>
      <c r="M128" s="49" t="s">
        <v>78</v>
      </c>
      <c r="N128" s="62" t="s">
        <v>338</v>
      </c>
      <c r="O128" s="33" t="s">
        <v>347</v>
      </c>
      <c r="P128" s="48">
        <v>1</v>
      </c>
      <c r="Q128" s="48"/>
      <c r="R128" s="48"/>
      <c r="S128" s="48"/>
      <c r="T128" s="48"/>
      <c r="U128" s="59">
        <f t="shared" si="19"/>
        <v>1931.728</v>
      </c>
      <c r="V128" s="48">
        <f t="shared" si="23"/>
        <v>0</v>
      </c>
      <c r="W128" s="49" t="s">
        <v>345</v>
      </c>
      <c r="X128" s="58">
        <f t="shared" si="20"/>
        <v>0</v>
      </c>
      <c r="Z128">
        <f t="shared" si="22"/>
        <v>0</v>
      </c>
      <c r="AA128">
        <f t="shared" si="21"/>
        <v>0</v>
      </c>
    </row>
    <row r="129" ht="16.5" hidden="1" spans="1:27">
      <c r="A129" s="5">
        <v>45</v>
      </c>
      <c r="B129" s="5" t="s">
        <v>31</v>
      </c>
      <c r="C129" s="6" t="s">
        <v>32</v>
      </c>
      <c r="D129" s="6">
        <v>16</v>
      </c>
      <c r="E129" s="49">
        <v>2000</v>
      </c>
      <c r="F129" s="6">
        <v>7710</v>
      </c>
      <c r="G129" s="8" t="s">
        <v>33</v>
      </c>
      <c r="H129" s="5">
        <v>1</v>
      </c>
      <c r="I129" s="9">
        <f t="shared" si="18"/>
        <v>1936.752</v>
      </c>
      <c r="J129" s="13" t="s">
        <v>11</v>
      </c>
      <c r="K129" s="48" t="s">
        <v>78</v>
      </c>
      <c r="L129" s="48"/>
      <c r="M129" s="49" t="s">
        <v>345</v>
      </c>
      <c r="N129" s="48"/>
      <c r="O129" s="48"/>
      <c r="P129" s="48"/>
      <c r="Q129" s="48"/>
      <c r="R129" s="48"/>
      <c r="S129" s="48"/>
      <c r="T129" s="48"/>
      <c r="U129" s="59">
        <f t="shared" si="19"/>
        <v>0</v>
      </c>
      <c r="V129" s="48">
        <f t="shared" si="23"/>
        <v>1</v>
      </c>
      <c r="W129" s="49" t="s">
        <v>345</v>
      </c>
      <c r="X129" s="58">
        <f t="shared" si="20"/>
        <v>7710</v>
      </c>
      <c r="Z129">
        <f t="shared" si="22"/>
        <v>1936.752</v>
      </c>
      <c r="AA129">
        <f t="shared" si="21"/>
        <v>0</v>
      </c>
    </row>
    <row r="130" ht="16.5" hidden="1" spans="1:27">
      <c r="A130" s="5">
        <v>28</v>
      </c>
      <c r="B130" s="5" t="s">
        <v>31</v>
      </c>
      <c r="C130" s="6" t="s">
        <v>32</v>
      </c>
      <c r="D130" s="6">
        <v>16</v>
      </c>
      <c r="E130" s="49">
        <v>2000</v>
      </c>
      <c r="F130" s="6">
        <v>7720</v>
      </c>
      <c r="G130" s="8" t="s">
        <v>33</v>
      </c>
      <c r="H130" s="5">
        <v>1</v>
      </c>
      <c r="I130" s="9">
        <f t="shared" si="18"/>
        <v>1939.264</v>
      </c>
      <c r="J130" s="13" t="s">
        <v>36</v>
      </c>
      <c r="K130" s="48" t="s">
        <v>78</v>
      </c>
      <c r="L130" s="48"/>
      <c r="M130" s="49" t="s">
        <v>345</v>
      </c>
      <c r="N130" s="48"/>
      <c r="O130" s="48"/>
      <c r="P130" s="48"/>
      <c r="Q130" s="48"/>
      <c r="R130" s="48"/>
      <c r="S130" s="48"/>
      <c r="T130" s="48"/>
      <c r="U130" s="59">
        <f t="shared" si="19"/>
        <v>0</v>
      </c>
      <c r="V130" s="48">
        <f t="shared" si="23"/>
        <v>1</v>
      </c>
      <c r="W130" s="49" t="s">
        <v>345</v>
      </c>
      <c r="X130" s="58">
        <f t="shared" si="20"/>
        <v>7720</v>
      </c>
      <c r="Z130">
        <f t="shared" si="22"/>
        <v>1939.264</v>
      </c>
      <c r="AA130">
        <f t="shared" si="21"/>
        <v>0</v>
      </c>
    </row>
    <row r="131" ht="16.5" hidden="1" spans="1:27">
      <c r="A131" s="5">
        <v>42</v>
      </c>
      <c r="B131" s="5" t="s">
        <v>31</v>
      </c>
      <c r="C131" s="6" t="s">
        <v>32</v>
      </c>
      <c r="D131" s="6">
        <v>16</v>
      </c>
      <c r="E131" s="20">
        <v>2000</v>
      </c>
      <c r="F131" s="6">
        <v>7740</v>
      </c>
      <c r="G131" s="8" t="s">
        <v>33</v>
      </c>
      <c r="H131" s="5">
        <v>1</v>
      </c>
      <c r="I131" s="9">
        <f t="shared" ref="I131:I162" si="24">E131*H131*F131*D131*7.85/1000000</f>
        <v>1944.288</v>
      </c>
      <c r="J131" s="13" t="s">
        <v>35</v>
      </c>
      <c r="K131" s="48" t="s">
        <v>84</v>
      </c>
      <c r="L131" s="48"/>
      <c r="M131" s="49" t="s">
        <v>345</v>
      </c>
      <c r="N131" s="48"/>
      <c r="O131" s="48"/>
      <c r="P131" s="48"/>
      <c r="Q131" s="48"/>
      <c r="R131" s="48"/>
      <c r="S131" s="48"/>
      <c r="T131" s="48"/>
      <c r="U131" s="59">
        <f t="shared" ref="U131:U162" si="25">D131*E131*F131*(P131+R131+T131)*7.85/1000/1000</f>
        <v>0</v>
      </c>
      <c r="V131" s="48">
        <f t="shared" si="23"/>
        <v>1</v>
      </c>
      <c r="W131" s="49" t="s">
        <v>345</v>
      </c>
      <c r="X131" s="58">
        <f t="shared" ref="X131:X162" si="26">F131*V131</f>
        <v>7740</v>
      </c>
      <c r="Z131">
        <f t="shared" si="22"/>
        <v>1944.288</v>
      </c>
      <c r="AA131">
        <f t="shared" ref="AA131:AA162" si="27">I131-U131-Z131</f>
        <v>0</v>
      </c>
    </row>
    <row r="132" ht="16.5" hidden="1" spans="1:27">
      <c r="A132" s="5">
        <v>52</v>
      </c>
      <c r="B132" s="5" t="s">
        <v>31</v>
      </c>
      <c r="C132" s="6" t="s">
        <v>32</v>
      </c>
      <c r="D132" s="6">
        <v>16</v>
      </c>
      <c r="E132" s="49">
        <v>2000</v>
      </c>
      <c r="F132" s="6">
        <v>7750</v>
      </c>
      <c r="G132" s="8" t="s">
        <v>33</v>
      </c>
      <c r="H132" s="5">
        <v>1</v>
      </c>
      <c r="I132" s="9">
        <f t="shared" si="24"/>
        <v>1946.8</v>
      </c>
      <c r="J132" s="13" t="s">
        <v>11</v>
      </c>
      <c r="K132" s="48" t="s">
        <v>78</v>
      </c>
      <c r="L132" s="48"/>
      <c r="M132" s="7">
        <v>9</v>
      </c>
      <c r="N132" s="48" t="s">
        <v>307</v>
      </c>
      <c r="O132" s="54" t="s">
        <v>348</v>
      </c>
      <c r="P132" s="33">
        <v>1</v>
      </c>
      <c r="Q132" s="48"/>
      <c r="R132" s="48"/>
      <c r="S132" s="48"/>
      <c r="T132" s="48"/>
      <c r="U132" s="59">
        <f t="shared" si="25"/>
        <v>1946.8</v>
      </c>
      <c r="V132" s="48">
        <f t="shared" si="23"/>
        <v>0</v>
      </c>
      <c r="W132" s="49" t="s">
        <v>345</v>
      </c>
      <c r="X132" s="58">
        <f t="shared" si="26"/>
        <v>0</v>
      </c>
      <c r="Z132">
        <f t="shared" si="22"/>
        <v>0</v>
      </c>
      <c r="AA132">
        <f t="shared" si="27"/>
        <v>0</v>
      </c>
    </row>
    <row r="133" ht="16.5" hidden="1" spans="1:27">
      <c r="A133" s="5">
        <v>52</v>
      </c>
      <c r="B133" s="5" t="s">
        <v>31</v>
      </c>
      <c r="C133" s="6" t="s">
        <v>32</v>
      </c>
      <c r="D133" s="6">
        <v>16</v>
      </c>
      <c r="E133" s="10">
        <v>2000</v>
      </c>
      <c r="F133" s="61">
        <v>7770</v>
      </c>
      <c r="G133" s="8" t="s">
        <v>33</v>
      </c>
      <c r="H133" s="10">
        <v>1</v>
      </c>
      <c r="I133" s="9">
        <f t="shared" si="24"/>
        <v>1951.824</v>
      </c>
      <c r="J133" s="13" t="s">
        <v>11</v>
      </c>
      <c r="K133" s="48" t="s">
        <v>84</v>
      </c>
      <c r="L133" s="48" t="s">
        <v>328</v>
      </c>
      <c r="M133" s="49" t="s">
        <v>338</v>
      </c>
      <c r="N133" s="62" t="s">
        <v>78</v>
      </c>
      <c r="O133" s="54" t="s">
        <v>349</v>
      </c>
      <c r="P133" s="48">
        <v>1</v>
      </c>
      <c r="Q133" s="48"/>
      <c r="R133" s="48"/>
      <c r="S133" s="48"/>
      <c r="T133" s="48"/>
      <c r="U133" s="59">
        <f t="shared" si="25"/>
        <v>1951.824</v>
      </c>
      <c r="V133" s="48">
        <f t="shared" si="23"/>
        <v>0</v>
      </c>
      <c r="W133" s="49" t="s">
        <v>345</v>
      </c>
      <c r="X133" s="58">
        <f t="shared" si="26"/>
        <v>0</v>
      </c>
      <c r="Z133">
        <f t="shared" ref="Z133:Z164" si="28">D133*E133*X133*7.85/1000/1000</f>
        <v>0</v>
      </c>
      <c r="AA133">
        <f t="shared" si="27"/>
        <v>0</v>
      </c>
    </row>
    <row r="134" ht="16.5" hidden="1" spans="1:27">
      <c r="A134" s="5">
        <v>29</v>
      </c>
      <c r="B134" s="5" t="s">
        <v>31</v>
      </c>
      <c r="C134" s="6" t="s">
        <v>32</v>
      </c>
      <c r="D134" s="6">
        <v>16</v>
      </c>
      <c r="E134" s="49">
        <v>2000</v>
      </c>
      <c r="F134" s="6">
        <v>7799.99999999997</v>
      </c>
      <c r="G134" s="8" t="s">
        <v>33</v>
      </c>
      <c r="H134" s="5">
        <v>1</v>
      </c>
      <c r="I134" s="9">
        <f t="shared" si="24"/>
        <v>1959.35999999999</v>
      </c>
      <c r="J134" s="13" t="s">
        <v>36</v>
      </c>
      <c r="K134" s="48" t="s">
        <v>72</v>
      </c>
      <c r="L134" s="48"/>
      <c r="M134" s="7">
        <v>4</v>
      </c>
      <c r="N134" s="48" t="s">
        <v>307</v>
      </c>
      <c r="O134" s="54" t="s">
        <v>350</v>
      </c>
      <c r="P134" s="33">
        <v>1</v>
      </c>
      <c r="Q134" s="48"/>
      <c r="R134" s="48"/>
      <c r="S134" s="48"/>
      <c r="T134" s="48"/>
      <c r="U134" s="59">
        <f t="shared" si="25"/>
        <v>1959.35999999999</v>
      </c>
      <c r="V134" s="48">
        <f t="shared" si="23"/>
        <v>0</v>
      </c>
      <c r="W134" s="49" t="s">
        <v>345</v>
      </c>
      <c r="X134" s="58">
        <f t="shared" si="26"/>
        <v>0</v>
      </c>
      <c r="Z134">
        <f t="shared" si="28"/>
        <v>0</v>
      </c>
      <c r="AA134">
        <f t="shared" si="27"/>
        <v>0</v>
      </c>
    </row>
    <row r="135" ht="16.5" spans="1:27">
      <c r="A135" s="5">
        <v>29</v>
      </c>
      <c r="B135" s="5" t="s">
        <v>31</v>
      </c>
      <c r="C135" s="6" t="s">
        <v>32</v>
      </c>
      <c r="D135" s="6">
        <v>16</v>
      </c>
      <c r="E135" s="7">
        <v>2000</v>
      </c>
      <c r="F135" s="61">
        <v>7800</v>
      </c>
      <c r="G135" s="8" t="s">
        <v>33</v>
      </c>
      <c r="H135" s="10">
        <v>1</v>
      </c>
      <c r="I135" s="9">
        <f t="shared" si="24"/>
        <v>1959.36</v>
      </c>
      <c r="J135" s="13" t="s">
        <v>36</v>
      </c>
      <c r="K135" s="48" t="s">
        <v>78</v>
      </c>
      <c r="L135" s="48" t="s">
        <v>328</v>
      </c>
      <c r="M135" s="49" t="s">
        <v>333</v>
      </c>
      <c r="N135" s="62" t="s">
        <v>338</v>
      </c>
      <c r="O135" s="33" t="s">
        <v>351</v>
      </c>
      <c r="P135" s="48">
        <v>1</v>
      </c>
      <c r="Q135" s="48"/>
      <c r="R135" s="48"/>
      <c r="S135" s="48"/>
      <c r="T135" s="48"/>
      <c r="U135" s="59">
        <f t="shared" si="25"/>
        <v>1959.36</v>
      </c>
      <c r="V135" s="48">
        <f t="shared" ref="V135:V166" si="29">H135-P135-R135-T135</f>
        <v>0</v>
      </c>
      <c r="W135" s="49" t="s">
        <v>345</v>
      </c>
      <c r="X135" s="58">
        <f t="shared" si="26"/>
        <v>0</v>
      </c>
      <c r="Z135">
        <f t="shared" si="28"/>
        <v>0</v>
      </c>
      <c r="AA135">
        <f t="shared" si="27"/>
        <v>0</v>
      </c>
    </row>
    <row r="136" ht="16.5" hidden="1" spans="1:27">
      <c r="A136" s="5">
        <v>33</v>
      </c>
      <c r="B136" s="5" t="s">
        <v>31</v>
      </c>
      <c r="C136" s="6" t="s">
        <v>32</v>
      </c>
      <c r="D136" s="6">
        <v>16</v>
      </c>
      <c r="E136" s="7">
        <v>2000</v>
      </c>
      <c r="F136" s="61">
        <v>7840</v>
      </c>
      <c r="G136" s="8" t="s">
        <v>33</v>
      </c>
      <c r="H136" s="10">
        <v>1</v>
      </c>
      <c r="I136" s="9">
        <f t="shared" si="24"/>
        <v>1969.408</v>
      </c>
      <c r="J136" s="13" t="s">
        <v>36</v>
      </c>
      <c r="K136" s="48" t="s">
        <v>89</v>
      </c>
      <c r="L136" s="48" t="s">
        <v>328</v>
      </c>
      <c r="M136" s="49" t="s">
        <v>78</v>
      </c>
      <c r="N136" s="62" t="s">
        <v>78</v>
      </c>
      <c r="O136" s="54" t="s">
        <v>352</v>
      </c>
      <c r="P136" s="48">
        <v>1</v>
      </c>
      <c r="Q136" s="48"/>
      <c r="R136" s="48"/>
      <c r="S136" s="48"/>
      <c r="T136" s="48"/>
      <c r="U136" s="59">
        <f t="shared" si="25"/>
        <v>1969.408</v>
      </c>
      <c r="V136" s="48">
        <f t="shared" si="29"/>
        <v>0</v>
      </c>
      <c r="W136" s="49" t="s">
        <v>345</v>
      </c>
      <c r="X136" s="58">
        <f t="shared" si="26"/>
        <v>0</v>
      </c>
      <c r="Z136">
        <f t="shared" si="28"/>
        <v>0</v>
      </c>
      <c r="AA136">
        <f t="shared" si="27"/>
        <v>0</v>
      </c>
    </row>
    <row r="137" ht="16.5" hidden="1" spans="1:27">
      <c r="A137" s="5">
        <v>40</v>
      </c>
      <c r="B137" s="5" t="s">
        <v>31</v>
      </c>
      <c r="C137" s="6" t="s">
        <v>32</v>
      </c>
      <c r="D137" s="6">
        <v>16</v>
      </c>
      <c r="E137" s="7">
        <v>2000</v>
      </c>
      <c r="F137" s="61">
        <v>7890</v>
      </c>
      <c r="G137" s="8" t="s">
        <v>33</v>
      </c>
      <c r="H137" s="10">
        <v>1</v>
      </c>
      <c r="I137" s="9">
        <f t="shared" si="24"/>
        <v>1981.968</v>
      </c>
      <c r="J137" s="13" t="s">
        <v>11</v>
      </c>
      <c r="K137" s="48" t="s">
        <v>78</v>
      </c>
      <c r="L137" s="48" t="s">
        <v>328</v>
      </c>
      <c r="M137" s="49" t="s">
        <v>78</v>
      </c>
      <c r="N137" s="62" t="s">
        <v>78</v>
      </c>
      <c r="O137" s="54" t="s">
        <v>353</v>
      </c>
      <c r="P137" s="48">
        <v>1</v>
      </c>
      <c r="Q137" s="48"/>
      <c r="R137" s="48"/>
      <c r="S137" s="48"/>
      <c r="T137" s="48"/>
      <c r="U137" s="59">
        <f t="shared" si="25"/>
        <v>1981.968</v>
      </c>
      <c r="V137" s="48">
        <f t="shared" si="29"/>
        <v>0</v>
      </c>
      <c r="W137" s="49" t="s">
        <v>345</v>
      </c>
      <c r="X137" s="58">
        <f t="shared" si="26"/>
        <v>0</v>
      </c>
      <c r="Z137">
        <f t="shared" si="28"/>
        <v>0</v>
      </c>
      <c r="AA137">
        <f t="shared" si="27"/>
        <v>0</v>
      </c>
    </row>
    <row r="138" ht="16.5" hidden="1" spans="1:27">
      <c r="A138" s="5">
        <v>30</v>
      </c>
      <c r="B138" s="5" t="s">
        <v>31</v>
      </c>
      <c r="C138" s="6" t="s">
        <v>32</v>
      </c>
      <c r="D138" s="6">
        <v>16</v>
      </c>
      <c r="E138" s="7">
        <v>2000</v>
      </c>
      <c r="F138" s="61">
        <v>7900</v>
      </c>
      <c r="G138" s="8" t="s">
        <v>33</v>
      </c>
      <c r="H138" s="10">
        <v>1</v>
      </c>
      <c r="I138" s="9">
        <f t="shared" si="24"/>
        <v>1984.48</v>
      </c>
      <c r="J138" s="13" t="s">
        <v>36</v>
      </c>
      <c r="K138" s="48" t="s">
        <v>78</v>
      </c>
      <c r="L138" s="48" t="s">
        <v>328</v>
      </c>
      <c r="M138" s="49" t="s">
        <v>333</v>
      </c>
      <c r="N138" s="62" t="s">
        <v>78</v>
      </c>
      <c r="O138" s="54" t="s">
        <v>354</v>
      </c>
      <c r="P138" s="48">
        <v>1</v>
      </c>
      <c r="Q138" s="48"/>
      <c r="R138" s="48"/>
      <c r="S138" s="48"/>
      <c r="T138" s="48"/>
      <c r="U138" s="59">
        <f t="shared" si="25"/>
        <v>1984.48</v>
      </c>
      <c r="V138" s="48">
        <f t="shared" si="29"/>
        <v>0</v>
      </c>
      <c r="W138" s="49" t="s">
        <v>345</v>
      </c>
      <c r="X138" s="58">
        <f t="shared" si="26"/>
        <v>0</v>
      </c>
      <c r="Z138">
        <f t="shared" si="28"/>
        <v>0</v>
      </c>
      <c r="AA138">
        <f t="shared" si="27"/>
        <v>0</v>
      </c>
    </row>
    <row r="139" ht="16.5" hidden="1" spans="1:27">
      <c r="A139" s="5">
        <v>31</v>
      </c>
      <c r="B139" s="5" t="s">
        <v>31</v>
      </c>
      <c r="C139" s="6" t="s">
        <v>32</v>
      </c>
      <c r="D139" s="6">
        <v>16</v>
      </c>
      <c r="E139" s="49">
        <v>2000</v>
      </c>
      <c r="F139" s="6">
        <v>7960</v>
      </c>
      <c r="G139" s="8" t="s">
        <v>33</v>
      </c>
      <c r="H139" s="5">
        <v>1</v>
      </c>
      <c r="I139" s="9">
        <f t="shared" si="24"/>
        <v>1999.552</v>
      </c>
      <c r="J139" s="13" t="s">
        <v>36</v>
      </c>
      <c r="K139" s="48" t="s">
        <v>78</v>
      </c>
      <c r="L139" s="48"/>
      <c r="M139" s="49">
        <v>30</v>
      </c>
      <c r="N139" s="48" t="s">
        <v>286</v>
      </c>
      <c r="O139" s="54" t="s">
        <v>355</v>
      </c>
      <c r="P139" s="33">
        <v>1</v>
      </c>
      <c r="Q139" s="48"/>
      <c r="R139" s="48"/>
      <c r="S139" s="48"/>
      <c r="T139" s="48"/>
      <c r="U139" s="59">
        <f t="shared" si="25"/>
        <v>1999.552</v>
      </c>
      <c r="V139" s="48">
        <f t="shared" si="29"/>
        <v>0</v>
      </c>
      <c r="W139" s="49" t="s">
        <v>345</v>
      </c>
      <c r="X139" s="58">
        <f t="shared" si="26"/>
        <v>0</v>
      </c>
      <c r="Z139">
        <f t="shared" si="28"/>
        <v>0</v>
      </c>
      <c r="AA139">
        <f t="shared" si="27"/>
        <v>0</v>
      </c>
    </row>
    <row r="140" ht="16.5" spans="1:27">
      <c r="A140" s="5">
        <v>27</v>
      </c>
      <c r="B140" s="5" t="s">
        <v>31</v>
      </c>
      <c r="C140" s="6" t="s">
        <v>32</v>
      </c>
      <c r="D140" s="6">
        <v>16</v>
      </c>
      <c r="E140" s="7">
        <v>2000</v>
      </c>
      <c r="F140" s="61">
        <v>7990</v>
      </c>
      <c r="G140" s="8" t="s">
        <v>33</v>
      </c>
      <c r="H140" s="10">
        <v>1</v>
      </c>
      <c r="I140" s="9">
        <f t="shared" si="24"/>
        <v>2007.088</v>
      </c>
      <c r="J140" s="13" t="s">
        <v>36</v>
      </c>
      <c r="K140" s="48" t="s">
        <v>89</v>
      </c>
      <c r="L140" s="48" t="s">
        <v>328</v>
      </c>
      <c r="M140" s="49" t="s">
        <v>338</v>
      </c>
      <c r="N140" s="62" t="s">
        <v>338</v>
      </c>
      <c r="O140" s="33" t="s">
        <v>356</v>
      </c>
      <c r="P140" s="48">
        <v>1</v>
      </c>
      <c r="Q140" s="48"/>
      <c r="R140" s="48"/>
      <c r="S140" s="48"/>
      <c r="T140" s="48"/>
      <c r="U140" s="59">
        <f t="shared" si="25"/>
        <v>2007.088</v>
      </c>
      <c r="V140" s="48">
        <f t="shared" si="29"/>
        <v>0</v>
      </c>
      <c r="W140" s="49" t="s">
        <v>345</v>
      </c>
      <c r="X140" s="58">
        <f t="shared" si="26"/>
        <v>0</v>
      </c>
      <c r="Z140">
        <f t="shared" si="28"/>
        <v>0</v>
      </c>
      <c r="AA140">
        <f t="shared" si="27"/>
        <v>0</v>
      </c>
    </row>
    <row r="141" ht="16.5" hidden="1" spans="1:27">
      <c r="A141" s="5">
        <v>24</v>
      </c>
      <c r="B141" s="5" t="s">
        <v>31</v>
      </c>
      <c r="C141" s="6" t="s">
        <v>32</v>
      </c>
      <c r="D141" s="6">
        <v>16</v>
      </c>
      <c r="E141" s="7">
        <v>2000</v>
      </c>
      <c r="F141" s="61">
        <v>8000</v>
      </c>
      <c r="G141" s="8" t="s">
        <v>33</v>
      </c>
      <c r="H141" s="10">
        <v>1</v>
      </c>
      <c r="I141" s="9">
        <f t="shared" si="24"/>
        <v>2009.6</v>
      </c>
      <c r="J141" s="13" t="s">
        <v>34</v>
      </c>
      <c r="K141" s="48" t="s">
        <v>89</v>
      </c>
      <c r="L141" s="48" t="s">
        <v>328</v>
      </c>
      <c r="M141" s="49" t="s">
        <v>330</v>
      </c>
      <c r="N141" s="62" t="s">
        <v>78</v>
      </c>
      <c r="O141" s="54" t="s">
        <v>357</v>
      </c>
      <c r="P141" s="48">
        <v>1</v>
      </c>
      <c r="Q141" s="48"/>
      <c r="R141" s="48"/>
      <c r="S141" s="48"/>
      <c r="T141" s="48"/>
      <c r="U141" s="59">
        <f t="shared" si="25"/>
        <v>2009.6</v>
      </c>
      <c r="V141" s="48">
        <f t="shared" si="29"/>
        <v>0</v>
      </c>
      <c r="W141" s="49" t="s">
        <v>345</v>
      </c>
      <c r="X141" s="58">
        <f t="shared" si="26"/>
        <v>0</v>
      </c>
      <c r="Z141">
        <f t="shared" si="28"/>
        <v>0</v>
      </c>
      <c r="AA141">
        <f t="shared" si="27"/>
        <v>0</v>
      </c>
    </row>
    <row r="142" ht="16.5" spans="1:27">
      <c r="A142" s="5">
        <v>57</v>
      </c>
      <c r="B142" s="5" t="s">
        <v>31</v>
      </c>
      <c r="C142" s="6" t="s">
        <v>32</v>
      </c>
      <c r="D142" s="6">
        <v>16</v>
      </c>
      <c r="E142" s="10">
        <v>2000</v>
      </c>
      <c r="F142" s="61">
        <v>8040</v>
      </c>
      <c r="G142" s="8" t="s">
        <v>33</v>
      </c>
      <c r="H142" s="10">
        <v>1</v>
      </c>
      <c r="I142" s="9">
        <f t="shared" si="24"/>
        <v>2019.648</v>
      </c>
      <c r="J142" s="13" t="s">
        <v>34</v>
      </c>
      <c r="K142" s="48" t="s">
        <v>84</v>
      </c>
      <c r="L142" s="48" t="s">
        <v>328</v>
      </c>
      <c r="M142" s="49" t="s">
        <v>78</v>
      </c>
      <c r="N142" s="62" t="s">
        <v>338</v>
      </c>
      <c r="O142" s="33" t="s">
        <v>358</v>
      </c>
      <c r="P142" s="48">
        <v>1</v>
      </c>
      <c r="Q142" s="48"/>
      <c r="R142" s="48"/>
      <c r="S142" s="48"/>
      <c r="T142" s="48"/>
      <c r="U142" s="59">
        <f t="shared" si="25"/>
        <v>2019.648</v>
      </c>
      <c r="V142" s="48">
        <f t="shared" si="29"/>
        <v>0</v>
      </c>
      <c r="W142" s="49" t="s">
        <v>345</v>
      </c>
      <c r="X142" s="58">
        <f t="shared" si="26"/>
        <v>0</v>
      </c>
      <c r="Z142">
        <f t="shared" si="28"/>
        <v>0</v>
      </c>
      <c r="AA142">
        <f t="shared" si="27"/>
        <v>0</v>
      </c>
    </row>
    <row r="143" ht="16.5" hidden="1" spans="1:27">
      <c r="A143" s="5">
        <v>58</v>
      </c>
      <c r="B143" s="5" t="s">
        <v>31</v>
      </c>
      <c r="C143" s="6" t="s">
        <v>32</v>
      </c>
      <c r="D143" s="6">
        <v>16</v>
      </c>
      <c r="E143" s="10">
        <v>2000</v>
      </c>
      <c r="F143" s="61">
        <v>8060</v>
      </c>
      <c r="G143" s="8" t="s">
        <v>33</v>
      </c>
      <c r="H143" s="10">
        <v>1</v>
      </c>
      <c r="I143" s="9">
        <f t="shared" si="24"/>
        <v>2024.672</v>
      </c>
      <c r="J143" s="13" t="s">
        <v>34</v>
      </c>
      <c r="K143" s="48" t="s">
        <v>84</v>
      </c>
      <c r="L143" s="48" t="s">
        <v>328</v>
      </c>
      <c r="M143" s="49" t="s">
        <v>339</v>
      </c>
      <c r="N143" s="62" t="s">
        <v>78</v>
      </c>
      <c r="O143" s="54" t="s">
        <v>359</v>
      </c>
      <c r="P143" s="48">
        <v>1</v>
      </c>
      <c r="Q143" s="48"/>
      <c r="R143" s="48"/>
      <c r="S143" s="48"/>
      <c r="T143" s="48"/>
      <c r="U143" s="59">
        <f t="shared" si="25"/>
        <v>2024.672</v>
      </c>
      <c r="V143" s="48">
        <f t="shared" si="29"/>
        <v>0</v>
      </c>
      <c r="W143" s="49" t="s">
        <v>345</v>
      </c>
      <c r="X143" s="58">
        <f t="shared" si="26"/>
        <v>0</v>
      </c>
      <c r="Z143">
        <f t="shared" si="28"/>
        <v>0</v>
      </c>
      <c r="AA143">
        <f t="shared" si="27"/>
        <v>0</v>
      </c>
    </row>
    <row r="144" ht="16.5" hidden="1" spans="1:27">
      <c r="A144" s="5">
        <v>32</v>
      </c>
      <c r="B144" s="5" t="s">
        <v>31</v>
      </c>
      <c r="C144" s="6" t="s">
        <v>32</v>
      </c>
      <c r="D144" s="6">
        <v>16</v>
      </c>
      <c r="E144" s="7">
        <v>2000</v>
      </c>
      <c r="F144" s="61">
        <v>8120</v>
      </c>
      <c r="G144" s="8" t="s">
        <v>33</v>
      </c>
      <c r="H144" s="10">
        <v>1</v>
      </c>
      <c r="I144" s="9">
        <f t="shared" si="24"/>
        <v>2039.744</v>
      </c>
      <c r="J144" s="13" t="s">
        <v>36</v>
      </c>
      <c r="K144" s="48" t="s">
        <v>78</v>
      </c>
      <c r="L144" s="48" t="s">
        <v>328</v>
      </c>
      <c r="M144" s="49" t="s">
        <v>338</v>
      </c>
      <c r="N144" s="62" t="s">
        <v>78</v>
      </c>
      <c r="O144" s="54" t="s">
        <v>360</v>
      </c>
      <c r="P144" s="48">
        <v>1</v>
      </c>
      <c r="Q144" s="48"/>
      <c r="R144" s="48"/>
      <c r="S144" s="48"/>
      <c r="T144" s="48"/>
      <c r="U144" s="59">
        <f t="shared" si="25"/>
        <v>2039.744</v>
      </c>
      <c r="V144" s="48">
        <f t="shared" si="29"/>
        <v>0</v>
      </c>
      <c r="W144" s="49" t="s">
        <v>345</v>
      </c>
      <c r="X144" s="58">
        <f t="shared" si="26"/>
        <v>0</v>
      </c>
      <c r="Z144">
        <f t="shared" si="28"/>
        <v>0</v>
      </c>
      <c r="AA144">
        <f t="shared" si="27"/>
        <v>0</v>
      </c>
    </row>
    <row r="145" ht="16.5" hidden="1" spans="1:27">
      <c r="A145" s="5">
        <v>33</v>
      </c>
      <c r="B145" s="5" t="s">
        <v>31</v>
      </c>
      <c r="C145" s="6" t="s">
        <v>32</v>
      </c>
      <c r="D145" s="6">
        <v>16</v>
      </c>
      <c r="E145" s="49">
        <v>2000</v>
      </c>
      <c r="F145" s="6">
        <v>8200</v>
      </c>
      <c r="G145" s="8" t="s">
        <v>33</v>
      </c>
      <c r="H145" s="5">
        <v>1</v>
      </c>
      <c r="I145" s="9">
        <f t="shared" si="24"/>
        <v>2059.84</v>
      </c>
      <c r="J145" s="13" t="s">
        <v>36</v>
      </c>
      <c r="K145" s="48" t="s">
        <v>72</v>
      </c>
      <c r="L145" s="48"/>
      <c r="M145" s="7">
        <v>7</v>
      </c>
      <c r="N145" s="48" t="s">
        <v>307</v>
      </c>
      <c r="O145" s="54" t="s">
        <v>361</v>
      </c>
      <c r="P145" s="33">
        <v>1</v>
      </c>
      <c r="Q145" s="48"/>
      <c r="R145" s="48"/>
      <c r="S145" s="48"/>
      <c r="T145" s="48"/>
      <c r="U145" s="59">
        <f t="shared" si="25"/>
        <v>2059.84</v>
      </c>
      <c r="V145" s="48">
        <f t="shared" si="29"/>
        <v>0</v>
      </c>
      <c r="W145" s="49" t="s">
        <v>345</v>
      </c>
      <c r="X145" s="58">
        <f t="shared" si="26"/>
        <v>0</v>
      </c>
      <c r="Z145">
        <f t="shared" si="28"/>
        <v>0</v>
      </c>
      <c r="AA145">
        <f t="shared" si="27"/>
        <v>0</v>
      </c>
    </row>
    <row r="146" ht="16.5" hidden="1" spans="1:27">
      <c r="A146" s="5">
        <v>36</v>
      </c>
      <c r="B146" s="5" t="s">
        <v>31</v>
      </c>
      <c r="C146" s="6" t="s">
        <v>32</v>
      </c>
      <c r="D146" s="6">
        <v>16</v>
      </c>
      <c r="E146" s="7">
        <v>2000</v>
      </c>
      <c r="F146" s="61">
        <v>8280</v>
      </c>
      <c r="G146" s="8" t="s">
        <v>33</v>
      </c>
      <c r="H146" s="10">
        <v>1</v>
      </c>
      <c r="I146" s="9">
        <f t="shared" si="24"/>
        <v>2079.936</v>
      </c>
      <c r="J146" s="13" t="s">
        <v>36</v>
      </c>
      <c r="K146" s="48" t="s">
        <v>89</v>
      </c>
      <c r="L146" s="48" t="s">
        <v>328</v>
      </c>
      <c r="M146" s="49" t="s">
        <v>78</v>
      </c>
      <c r="N146" s="62" t="s">
        <v>78</v>
      </c>
      <c r="O146" s="54" t="s">
        <v>362</v>
      </c>
      <c r="P146" s="48">
        <v>1</v>
      </c>
      <c r="Q146" s="48"/>
      <c r="R146" s="48"/>
      <c r="S146" s="48"/>
      <c r="T146" s="48"/>
      <c r="U146" s="59">
        <f t="shared" si="25"/>
        <v>2079.936</v>
      </c>
      <c r="V146" s="48">
        <f t="shared" si="29"/>
        <v>0</v>
      </c>
      <c r="W146" s="49" t="s">
        <v>345</v>
      </c>
      <c r="X146" s="58">
        <f t="shared" si="26"/>
        <v>0</v>
      </c>
      <c r="Z146">
        <f t="shared" si="28"/>
        <v>0</v>
      </c>
      <c r="AA146">
        <f t="shared" si="27"/>
        <v>0</v>
      </c>
    </row>
    <row r="147" ht="16.5" spans="1:27">
      <c r="A147" s="5">
        <v>33</v>
      </c>
      <c r="B147" s="5" t="s">
        <v>31</v>
      </c>
      <c r="C147" s="6" t="s">
        <v>32</v>
      </c>
      <c r="D147" s="6">
        <v>16</v>
      </c>
      <c r="E147" s="7">
        <v>2000</v>
      </c>
      <c r="F147" s="61">
        <v>8300</v>
      </c>
      <c r="G147" s="8" t="s">
        <v>33</v>
      </c>
      <c r="H147" s="10">
        <v>1</v>
      </c>
      <c r="I147" s="9">
        <f t="shared" si="24"/>
        <v>2084.96</v>
      </c>
      <c r="J147" s="13" t="s">
        <v>36</v>
      </c>
      <c r="K147" s="48" t="s">
        <v>78</v>
      </c>
      <c r="L147" s="48" t="s">
        <v>328</v>
      </c>
      <c r="M147" s="49" t="s">
        <v>78</v>
      </c>
      <c r="N147" s="62" t="s">
        <v>338</v>
      </c>
      <c r="O147" s="33" t="s">
        <v>363</v>
      </c>
      <c r="P147" s="48">
        <v>1</v>
      </c>
      <c r="Q147" s="48"/>
      <c r="R147" s="48"/>
      <c r="S147" s="48"/>
      <c r="T147" s="48"/>
      <c r="U147" s="59">
        <f t="shared" si="25"/>
        <v>2084.96</v>
      </c>
      <c r="V147" s="48">
        <f t="shared" si="29"/>
        <v>0</v>
      </c>
      <c r="W147" s="49" t="s">
        <v>345</v>
      </c>
      <c r="X147" s="58">
        <f t="shared" si="26"/>
        <v>0</v>
      </c>
      <c r="Z147">
        <f t="shared" si="28"/>
        <v>0</v>
      </c>
      <c r="AA147">
        <f t="shared" si="27"/>
        <v>0</v>
      </c>
    </row>
    <row r="148" ht="16.5" hidden="1" spans="1:27">
      <c r="A148" s="5">
        <v>47</v>
      </c>
      <c r="B148" s="5" t="s">
        <v>31</v>
      </c>
      <c r="C148" s="6" t="s">
        <v>32</v>
      </c>
      <c r="D148" s="6">
        <v>16</v>
      </c>
      <c r="E148" s="49">
        <v>2000</v>
      </c>
      <c r="F148" s="6">
        <v>8740</v>
      </c>
      <c r="G148" s="8" t="s">
        <v>33</v>
      </c>
      <c r="H148" s="5">
        <v>1</v>
      </c>
      <c r="I148" s="9">
        <f t="shared" si="24"/>
        <v>2195.488</v>
      </c>
      <c r="J148" s="13" t="s">
        <v>36</v>
      </c>
      <c r="K148" s="48" t="s">
        <v>72</v>
      </c>
      <c r="L148" s="48"/>
      <c r="M148" s="49" t="s">
        <v>345</v>
      </c>
      <c r="N148" s="48"/>
      <c r="O148" s="48"/>
      <c r="P148" s="48"/>
      <c r="Q148" s="48"/>
      <c r="R148" s="48"/>
      <c r="S148" s="48"/>
      <c r="T148" s="48"/>
      <c r="U148" s="59">
        <f t="shared" si="25"/>
        <v>0</v>
      </c>
      <c r="V148" s="48">
        <f t="shared" si="29"/>
        <v>1</v>
      </c>
      <c r="W148" s="49" t="s">
        <v>345</v>
      </c>
      <c r="X148" s="58">
        <f t="shared" si="26"/>
        <v>8740</v>
      </c>
      <c r="Z148">
        <f t="shared" si="28"/>
        <v>2195.488</v>
      </c>
      <c r="AA148">
        <f t="shared" si="27"/>
        <v>0</v>
      </c>
    </row>
    <row r="149" ht="16.5" hidden="1" spans="1:27">
      <c r="A149" s="5">
        <v>29</v>
      </c>
      <c r="B149" s="5" t="s">
        <v>31</v>
      </c>
      <c r="C149" s="6" t="s">
        <v>32</v>
      </c>
      <c r="D149" s="6">
        <v>16</v>
      </c>
      <c r="E149" s="7">
        <v>2000</v>
      </c>
      <c r="F149" s="61">
        <v>9240</v>
      </c>
      <c r="G149" s="8" t="s">
        <v>33</v>
      </c>
      <c r="H149" s="10">
        <v>4</v>
      </c>
      <c r="I149" s="9">
        <f t="shared" si="24"/>
        <v>9284.352</v>
      </c>
      <c r="J149" s="13" t="s">
        <v>19</v>
      </c>
      <c r="K149" s="48" t="s">
        <v>89</v>
      </c>
      <c r="L149" s="48" t="s">
        <v>328</v>
      </c>
      <c r="M149" s="49" t="s">
        <v>330</v>
      </c>
      <c r="N149" s="62" t="s">
        <v>364</v>
      </c>
      <c r="O149" s="54" t="s">
        <v>365</v>
      </c>
      <c r="P149" s="64">
        <v>2</v>
      </c>
      <c r="Q149" s="54" t="s">
        <v>366</v>
      </c>
      <c r="R149" s="48"/>
      <c r="S149" s="48"/>
      <c r="T149" s="48"/>
      <c r="U149" s="59">
        <f t="shared" si="25"/>
        <v>4642.176</v>
      </c>
      <c r="V149" s="48">
        <f t="shared" si="29"/>
        <v>2</v>
      </c>
      <c r="W149" s="49" t="s">
        <v>345</v>
      </c>
      <c r="X149" s="58">
        <f t="shared" si="26"/>
        <v>18480</v>
      </c>
      <c r="Z149">
        <f t="shared" si="28"/>
        <v>4642.176</v>
      </c>
      <c r="AA149">
        <f t="shared" si="27"/>
        <v>0</v>
      </c>
    </row>
    <row r="150" ht="16.5" hidden="1" spans="1:27">
      <c r="A150" s="5">
        <v>53</v>
      </c>
      <c r="B150" s="5" t="s">
        <v>31</v>
      </c>
      <c r="C150" s="6" t="s">
        <v>32</v>
      </c>
      <c r="D150" s="6">
        <v>16</v>
      </c>
      <c r="E150" s="20">
        <v>2000</v>
      </c>
      <c r="F150" s="6">
        <v>9490</v>
      </c>
      <c r="G150" s="8" t="s">
        <v>33</v>
      </c>
      <c r="H150" s="5">
        <v>1</v>
      </c>
      <c r="I150" s="9">
        <f t="shared" si="24"/>
        <v>2383.888</v>
      </c>
      <c r="J150" s="13" t="s">
        <v>11</v>
      </c>
      <c r="K150" s="48" t="s">
        <v>84</v>
      </c>
      <c r="L150" s="48"/>
      <c r="M150" s="49" t="s">
        <v>345</v>
      </c>
      <c r="N150" s="48"/>
      <c r="O150" s="48"/>
      <c r="P150" s="48"/>
      <c r="Q150" s="48"/>
      <c r="R150" s="48"/>
      <c r="S150" s="48"/>
      <c r="T150" s="48"/>
      <c r="U150" s="59">
        <f t="shared" si="25"/>
        <v>0</v>
      </c>
      <c r="V150" s="48">
        <f t="shared" si="29"/>
        <v>1</v>
      </c>
      <c r="W150" s="49" t="s">
        <v>345</v>
      </c>
      <c r="X150" s="58">
        <f t="shared" si="26"/>
        <v>9490</v>
      </c>
      <c r="Z150">
        <f t="shared" si="28"/>
        <v>2383.888</v>
      </c>
      <c r="AA150">
        <f t="shared" si="27"/>
        <v>0</v>
      </c>
    </row>
    <row r="151" ht="16.5" hidden="1" spans="1:27">
      <c r="A151" s="5">
        <v>35</v>
      </c>
      <c r="B151" s="5" t="s">
        <v>31</v>
      </c>
      <c r="C151" s="6" t="s">
        <v>32</v>
      </c>
      <c r="D151" s="6">
        <v>16</v>
      </c>
      <c r="E151" s="49">
        <v>2000</v>
      </c>
      <c r="F151" s="6">
        <v>9500</v>
      </c>
      <c r="G151" s="8" t="s">
        <v>33</v>
      </c>
      <c r="H151" s="5">
        <v>1</v>
      </c>
      <c r="I151" s="9">
        <f t="shared" si="24"/>
        <v>2386.4</v>
      </c>
      <c r="J151" s="13" t="s">
        <v>11</v>
      </c>
      <c r="K151" s="48" t="s">
        <v>72</v>
      </c>
      <c r="L151" s="48"/>
      <c r="M151" s="7">
        <v>5</v>
      </c>
      <c r="N151" s="48" t="s">
        <v>307</v>
      </c>
      <c r="O151" s="54" t="s">
        <v>367</v>
      </c>
      <c r="P151" s="33">
        <v>1</v>
      </c>
      <c r="Q151" s="48"/>
      <c r="R151" s="48"/>
      <c r="S151" s="48"/>
      <c r="T151" s="48"/>
      <c r="U151" s="59">
        <f t="shared" si="25"/>
        <v>2386.4</v>
      </c>
      <c r="V151" s="48">
        <f t="shared" si="29"/>
        <v>0</v>
      </c>
      <c r="W151" s="49" t="s">
        <v>345</v>
      </c>
      <c r="X151" s="58">
        <f t="shared" si="26"/>
        <v>0</v>
      </c>
      <c r="Z151">
        <f t="shared" si="28"/>
        <v>0</v>
      </c>
      <c r="AA151">
        <f t="shared" si="27"/>
        <v>0</v>
      </c>
    </row>
    <row r="152" ht="16.5" spans="1:27">
      <c r="A152" s="5">
        <v>47</v>
      </c>
      <c r="B152" s="5" t="s">
        <v>31</v>
      </c>
      <c r="C152" s="6" t="s">
        <v>32</v>
      </c>
      <c r="D152" s="6">
        <v>16</v>
      </c>
      <c r="E152" s="10">
        <v>2000</v>
      </c>
      <c r="F152" s="61">
        <v>9690</v>
      </c>
      <c r="G152" s="8" t="s">
        <v>33</v>
      </c>
      <c r="H152" s="10">
        <v>1</v>
      </c>
      <c r="I152" s="9">
        <f t="shared" si="24"/>
        <v>2434.128</v>
      </c>
      <c r="J152" s="13" t="s">
        <v>11</v>
      </c>
      <c r="K152" s="48" t="s">
        <v>84</v>
      </c>
      <c r="L152" s="48" t="s">
        <v>328</v>
      </c>
      <c r="M152" s="49" t="s">
        <v>338</v>
      </c>
      <c r="N152" s="62" t="s">
        <v>338</v>
      </c>
      <c r="O152" s="33" t="s">
        <v>368</v>
      </c>
      <c r="P152" s="48">
        <v>1</v>
      </c>
      <c r="Q152" s="48"/>
      <c r="R152" s="48"/>
      <c r="S152" s="48"/>
      <c r="T152" s="48"/>
      <c r="U152" s="59">
        <f t="shared" si="25"/>
        <v>2434.128</v>
      </c>
      <c r="V152" s="48">
        <f t="shared" si="29"/>
        <v>0</v>
      </c>
      <c r="W152" s="49" t="s">
        <v>345</v>
      </c>
      <c r="X152" s="58">
        <f t="shared" si="26"/>
        <v>0</v>
      </c>
      <c r="Z152">
        <f t="shared" si="28"/>
        <v>0</v>
      </c>
      <c r="AA152">
        <f t="shared" si="27"/>
        <v>0</v>
      </c>
    </row>
    <row r="153" ht="16.5" hidden="1" spans="1:27">
      <c r="A153" s="5">
        <v>53</v>
      </c>
      <c r="B153" s="5" t="s">
        <v>31</v>
      </c>
      <c r="C153" s="6" t="s">
        <v>32</v>
      </c>
      <c r="D153" s="6">
        <v>16</v>
      </c>
      <c r="E153" s="49">
        <v>2000</v>
      </c>
      <c r="F153" s="6">
        <v>9700</v>
      </c>
      <c r="G153" s="8" t="s">
        <v>33</v>
      </c>
      <c r="H153" s="5">
        <v>1</v>
      </c>
      <c r="I153" s="9">
        <f t="shared" si="24"/>
        <v>2436.64</v>
      </c>
      <c r="J153" s="13" t="s">
        <v>11</v>
      </c>
      <c r="K153" s="48" t="s">
        <v>78</v>
      </c>
      <c r="L153" s="48"/>
      <c r="M153" s="49" t="s">
        <v>345</v>
      </c>
      <c r="N153" s="48"/>
      <c r="O153" s="48"/>
      <c r="P153" s="48"/>
      <c r="Q153" s="48"/>
      <c r="R153" s="48"/>
      <c r="S153" s="48"/>
      <c r="T153" s="48"/>
      <c r="U153" s="59">
        <f t="shared" si="25"/>
        <v>0</v>
      </c>
      <c r="V153" s="48">
        <f t="shared" si="29"/>
        <v>1</v>
      </c>
      <c r="W153" s="49" t="s">
        <v>345</v>
      </c>
      <c r="X153" s="58">
        <f t="shared" si="26"/>
        <v>9700</v>
      </c>
      <c r="Z153">
        <f t="shared" si="28"/>
        <v>2436.64</v>
      </c>
      <c r="AA153">
        <f t="shared" si="27"/>
        <v>0</v>
      </c>
    </row>
    <row r="154" ht="16.5" hidden="1" spans="1:27">
      <c r="A154" s="5">
        <v>54</v>
      </c>
      <c r="B154" s="5" t="s">
        <v>31</v>
      </c>
      <c r="C154" s="6" t="s">
        <v>32</v>
      </c>
      <c r="D154" s="6">
        <v>16</v>
      </c>
      <c r="E154" s="20">
        <v>2000</v>
      </c>
      <c r="F154" s="6">
        <v>9700</v>
      </c>
      <c r="G154" s="8" t="s">
        <v>33</v>
      </c>
      <c r="H154" s="5">
        <v>1</v>
      </c>
      <c r="I154" s="9">
        <f t="shared" si="24"/>
        <v>2436.64</v>
      </c>
      <c r="J154" s="13" t="s">
        <v>11</v>
      </c>
      <c r="K154" s="48" t="s">
        <v>84</v>
      </c>
      <c r="L154" s="48"/>
      <c r="M154" s="49" t="s">
        <v>345</v>
      </c>
      <c r="N154" s="48"/>
      <c r="O154" s="48"/>
      <c r="P154" s="48"/>
      <c r="Q154" s="48"/>
      <c r="R154" s="48"/>
      <c r="S154" s="48"/>
      <c r="T154" s="48"/>
      <c r="U154" s="59">
        <f t="shared" si="25"/>
        <v>0</v>
      </c>
      <c r="V154" s="48">
        <f t="shared" si="29"/>
        <v>1</v>
      </c>
      <c r="W154" s="49" t="s">
        <v>345</v>
      </c>
      <c r="X154" s="58">
        <f t="shared" si="26"/>
        <v>9700</v>
      </c>
      <c r="Z154">
        <f t="shared" si="28"/>
        <v>2436.64</v>
      </c>
      <c r="AA154">
        <f t="shared" si="27"/>
        <v>0</v>
      </c>
    </row>
    <row r="155" ht="16.5" hidden="1" spans="1:27">
      <c r="A155" s="5">
        <v>44</v>
      </c>
      <c r="B155" s="5" t="s">
        <v>31</v>
      </c>
      <c r="C155" s="6" t="s">
        <v>32</v>
      </c>
      <c r="D155" s="6">
        <v>16</v>
      </c>
      <c r="E155" s="7">
        <v>2000</v>
      </c>
      <c r="F155" s="6">
        <v>9720</v>
      </c>
      <c r="G155" s="8" t="s">
        <v>33</v>
      </c>
      <c r="H155" s="5">
        <v>5</v>
      </c>
      <c r="I155" s="9">
        <f t="shared" si="24"/>
        <v>12208.32</v>
      </c>
      <c r="J155" s="13" t="s">
        <v>19</v>
      </c>
      <c r="K155" s="48" t="s">
        <v>72</v>
      </c>
      <c r="L155" s="48"/>
      <c r="M155" s="7" t="s">
        <v>369</v>
      </c>
      <c r="N155" s="48" t="s">
        <v>310</v>
      </c>
      <c r="O155" s="54" t="s">
        <v>370</v>
      </c>
      <c r="P155" s="33">
        <v>1</v>
      </c>
      <c r="Q155" s="54" t="s">
        <v>371</v>
      </c>
      <c r="R155" s="33">
        <v>1</v>
      </c>
      <c r="S155" s="48" t="s">
        <v>372</v>
      </c>
      <c r="T155" s="48">
        <v>3</v>
      </c>
      <c r="U155" s="59">
        <f t="shared" si="25"/>
        <v>12208.32</v>
      </c>
      <c r="V155" s="48">
        <f t="shared" si="29"/>
        <v>0</v>
      </c>
      <c r="W155" s="49" t="s">
        <v>345</v>
      </c>
      <c r="X155" s="58">
        <f t="shared" si="26"/>
        <v>0</v>
      </c>
      <c r="Z155">
        <f t="shared" si="28"/>
        <v>0</v>
      </c>
      <c r="AA155">
        <f t="shared" si="27"/>
        <v>0</v>
      </c>
    </row>
    <row r="156" ht="16.5" hidden="1" spans="1:27">
      <c r="A156" s="5">
        <v>41</v>
      </c>
      <c r="B156" s="5" t="s">
        <v>31</v>
      </c>
      <c r="C156" s="6" t="s">
        <v>32</v>
      </c>
      <c r="D156" s="6">
        <v>16</v>
      </c>
      <c r="E156" s="49">
        <v>2000</v>
      </c>
      <c r="F156" s="6">
        <v>9720</v>
      </c>
      <c r="G156" s="8" t="s">
        <v>33</v>
      </c>
      <c r="H156" s="5">
        <v>1</v>
      </c>
      <c r="I156" s="9">
        <f t="shared" si="24"/>
        <v>2441.664</v>
      </c>
      <c r="J156" s="13" t="s">
        <v>11</v>
      </c>
      <c r="K156" s="48" t="s">
        <v>89</v>
      </c>
      <c r="L156" s="48"/>
      <c r="M156" s="49" t="s">
        <v>345</v>
      </c>
      <c r="N156" s="48"/>
      <c r="O156" s="48"/>
      <c r="P156" s="48"/>
      <c r="Q156" s="48"/>
      <c r="R156" s="48"/>
      <c r="S156" s="48"/>
      <c r="T156" s="48"/>
      <c r="U156" s="59">
        <f t="shared" si="25"/>
        <v>0</v>
      </c>
      <c r="V156" s="48">
        <f t="shared" si="29"/>
        <v>1</v>
      </c>
      <c r="W156" s="49" t="s">
        <v>345</v>
      </c>
      <c r="X156" s="58">
        <f t="shared" si="26"/>
        <v>9720</v>
      </c>
      <c r="Z156">
        <f t="shared" si="28"/>
        <v>2441.664</v>
      </c>
      <c r="AA156">
        <f t="shared" si="27"/>
        <v>0</v>
      </c>
    </row>
    <row r="157" ht="16.5" hidden="1" spans="1:27">
      <c r="A157" s="5">
        <v>49</v>
      </c>
      <c r="B157" s="5" t="s">
        <v>31</v>
      </c>
      <c r="C157" s="6" t="s">
        <v>32</v>
      </c>
      <c r="D157" s="6">
        <v>16</v>
      </c>
      <c r="E157" s="49">
        <v>2000</v>
      </c>
      <c r="F157" s="6">
        <v>9810</v>
      </c>
      <c r="G157" s="8" t="s">
        <v>33</v>
      </c>
      <c r="H157" s="5">
        <v>1</v>
      </c>
      <c r="I157" s="9">
        <f t="shared" si="24"/>
        <v>2464.272</v>
      </c>
      <c r="J157" s="13" t="s">
        <v>11</v>
      </c>
      <c r="K157" s="48" t="s">
        <v>72</v>
      </c>
      <c r="L157" s="48"/>
      <c r="M157" s="7">
        <v>18</v>
      </c>
      <c r="N157" s="48" t="s">
        <v>310</v>
      </c>
      <c r="O157" s="54" t="s">
        <v>373</v>
      </c>
      <c r="P157" s="33">
        <v>1</v>
      </c>
      <c r="Q157" s="48"/>
      <c r="R157" s="48"/>
      <c r="S157" s="48"/>
      <c r="T157" s="48"/>
      <c r="U157" s="59">
        <f t="shared" si="25"/>
        <v>2464.272</v>
      </c>
      <c r="V157" s="48">
        <f t="shared" si="29"/>
        <v>0</v>
      </c>
      <c r="W157" s="49" t="s">
        <v>345</v>
      </c>
      <c r="X157" s="58">
        <f t="shared" si="26"/>
        <v>0</v>
      </c>
      <c r="Z157">
        <f t="shared" si="28"/>
        <v>0</v>
      </c>
      <c r="AA157">
        <f t="shared" si="27"/>
        <v>0</v>
      </c>
    </row>
    <row r="158" ht="16.5" spans="1:27">
      <c r="A158" s="5">
        <v>34</v>
      </c>
      <c r="B158" s="5" t="s">
        <v>31</v>
      </c>
      <c r="C158" s="6" t="s">
        <v>32</v>
      </c>
      <c r="D158" s="6">
        <v>16</v>
      </c>
      <c r="E158" s="7">
        <v>2000</v>
      </c>
      <c r="F158" s="61">
        <v>9820</v>
      </c>
      <c r="G158" s="8" t="s">
        <v>33</v>
      </c>
      <c r="H158" s="10">
        <v>1</v>
      </c>
      <c r="I158" s="9">
        <f t="shared" si="24"/>
        <v>2466.784</v>
      </c>
      <c r="J158" s="13" t="s">
        <v>36</v>
      </c>
      <c r="K158" s="48" t="s">
        <v>89</v>
      </c>
      <c r="L158" s="48" t="s">
        <v>328</v>
      </c>
      <c r="M158" s="49" t="s">
        <v>89</v>
      </c>
      <c r="N158" s="62" t="s">
        <v>338</v>
      </c>
      <c r="O158" s="33" t="s">
        <v>374</v>
      </c>
      <c r="P158" s="48">
        <v>1</v>
      </c>
      <c r="Q158" s="48"/>
      <c r="R158" s="48"/>
      <c r="S158" s="48"/>
      <c r="T158" s="48"/>
      <c r="U158" s="59">
        <f t="shared" si="25"/>
        <v>2466.784</v>
      </c>
      <c r="V158" s="48">
        <f t="shared" si="29"/>
        <v>0</v>
      </c>
      <c r="W158" s="49" t="s">
        <v>345</v>
      </c>
      <c r="X158" s="58">
        <f t="shared" si="26"/>
        <v>0</v>
      </c>
      <c r="Z158">
        <f t="shared" si="28"/>
        <v>0</v>
      </c>
      <c r="AA158">
        <f t="shared" si="27"/>
        <v>0</v>
      </c>
    </row>
    <row r="159" ht="16.5" hidden="1" spans="1:27">
      <c r="A159" s="5">
        <v>44</v>
      </c>
      <c r="B159" s="5" t="s">
        <v>31</v>
      </c>
      <c r="C159" s="6" t="s">
        <v>32</v>
      </c>
      <c r="D159" s="6">
        <v>16</v>
      </c>
      <c r="E159" s="10">
        <v>2000</v>
      </c>
      <c r="F159" s="6">
        <f>(195920+1000)/4/5</f>
        <v>9846</v>
      </c>
      <c r="G159" s="8" t="s">
        <v>33</v>
      </c>
      <c r="H159" s="5">
        <v>5</v>
      </c>
      <c r="I159" s="9">
        <f t="shared" si="24"/>
        <v>12366.576</v>
      </c>
      <c r="J159" s="13" t="s">
        <v>19</v>
      </c>
      <c r="K159" s="48" t="s">
        <v>84</v>
      </c>
      <c r="L159" s="48"/>
      <c r="M159" s="49" t="s">
        <v>345</v>
      </c>
      <c r="N159" s="48"/>
      <c r="O159" s="48"/>
      <c r="P159" s="48"/>
      <c r="Q159" s="48"/>
      <c r="R159" s="48"/>
      <c r="S159" s="48"/>
      <c r="T159" s="48"/>
      <c r="U159" s="59">
        <f t="shared" si="25"/>
        <v>0</v>
      </c>
      <c r="V159" s="48">
        <f t="shared" si="29"/>
        <v>5</v>
      </c>
      <c r="W159" s="49" t="s">
        <v>345</v>
      </c>
      <c r="X159" s="58">
        <f t="shared" si="26"/>
        <v>49230</v>
      </c>
      <c r="Z159">
        <f t="shared" si="28"/>
        <v>12366.576</v>
      </c>
      <c r="AA159">
        <f t="shared" si="27"/>
        <v>0</v>
      </c>
    </row>
    <row r="160" ht="16.5" hidden="1" spans="1:27">
      <c r="A160" s="5">
        <v>47</v>
      </c>
      <c r="B160" s="5" t="s">
        <v>31</v>
      </c>
      <c r="C160" s="6" t="s">
        <v>32</v>
      </c>
      <c r="D160" s="6">
        <v>16</v>
      </c>
      <c r="E160" s="49">
        <v>2000</v>
      </c>
      <c r="F160" s="6">
        <v>9900</v>
      </c>
      <c r="G160" s="8" t="s">
        <v>33</v>
      </c>
      <c r="H160" s="5">
        <v>1</v>
      </c>
      <c r="I160" s="9">
        <f t="shared" si="24"/>
        <v>2486.88</v>
      </c>
      <c r="J160" s="13" t="s">
        <v>11</v>
      </c>
      <c r="K160" s="48" t="s">
        <v>78</v>
      </c>
      <c r="L160" s="48"/>
      <c r="M160" s="49" t="s">
        <v>345</v>
      </c>
      <c r="N160" s="48"/>
      <c r="O160" s="48"/>
      <c r="P160" s="48"/>
      <c r="Q160" s="48"/>
      <c r="R160" s="48"/>
      <c r="S160" s="48"/>
      <c r="T160" s="48"/>
      <c r="U160" s="59">
        <f t="shared" si="25"/>
        <v>0</v>
      </c>
      <c r="V160" s="48">
        <f t="shared" si="29"/>
        <v>1</v>
      </c>
      <c r="W160" s="49" t="s">
        <v>345</v>
      </c>
      <c r="X160" s="58">
        <f t="shared" si="26"/>
        <v>9900</v>
      </c>
      <c r="Z160">
        <f t="shared" si="28"/>
        <v>2486.88</v>
      </c>
      <c r="AA160">
        <f t="shared" si="27"/>
        <v>0</v>
      </c>
    </row>
    <row r="161" ht="16.5" hidden="1" spans="1:27">
      <c r="A161" s="5">
        <v>34</v>
      </c>
      <c r="B161" s="5" t="s">
        <v>31</v>
      </c>
      <c r="C161" s="6" t="s">
        <v>32</v>
      </c>
      <c r="D161" s="6">
        <v>16</v>
      </c>
      <c r="E161" s="49">
        <v>2000</v>
      </c>
      <c r="F161" s="6">
        <v>9990</v>
      </c>
      <c r="G161" s="8" t="s">
        <v>33</v>
      </c>
      <c r="H161" s="5">
        <v>1</v>
      </c>
      <c r="I161" s="9">
        <f t="shared" si="24"/>
        <v>2509.488</v>
      </c>
      <c r="J161" s="13" t="s">
        <v>36</v>
      </c>
      <c r="K161" s="48" t="s">
        <v>78</v>
      </c>
      <c r="L161" s="48"/>
      <c r="M161" s="49" t="s">
        <v>345</v>
      </c>
      <c r="N161" s="48"/>
      <c r="O161" s="48"/>
      <c r="P161" s="48"/>
      <c r="Q161" s="48"/>
      <c r="R161" s="48"/>
      <c r="S161" s="48"/>
      <c r="T161" s="48"/>
      <c r="U161" s="59">
        <f t="shared" si="25"/>
        <v>0</v>
      </c>
      <c r="V161" s="48">
        <f t="shared" si="29"/>
        <v>1</v>
      </c>
      <c r="W161" s="49" t="s">
        <v>345</v>
      </c>
      <c r="X161" s="58">
        <f t="shared" si="26"/>
        <v>9990</v>
      </c>
      <c r="Z161">
        <f t="shared" si="28"/>
        <v>2509.488</v>
      </c>
      <c r="AA161">
        <f t="shared" si="27"/>
        <v>0</v>
      </c>
    </row>
    <row r="162" ht="16.5" hidden="1" spans="1:27">
      <c r="A162" s="5">
        <v>30</v>
      </c>
      <c r="B162" s="5" t="s">
        <v>31</v>
      </c>
      <c r="C162" s="6" t="s">
        <v>32</v>
      </c>
      <c r="D162" s="6">
        <v>16</v>
      </c>
      <c r="E162" s="7">
        <v>2000</v>
      </c>
      <c r="F162" s="61">
        <v>10020</v>
      </c>
      <c r="G162" s="8" t="s">
        <v>33</v>
      </c>
      <c r="H162" s="10">
        <v>1</v>
      </c>
      <c r="I162" s="9">
        <f t="shared" si="24"/>
        <v>2517.024</v>
      </c>
      <c r="J162" s="13" t="s">
        <v>34</v>
      </c>
      <c r="K162" s="48" t="s">
        <v>89</v>
      </c>
      <c r="L162" s="48" t="s">
        <v>328</v>
      </c>
      <c r="M162" s="49" t="s">
        <v>78</v>
      </c>
      <c r="N162" s="62" t="s">
        <v>78</v>
      </c>
      <c r="O162" s="54" t="s">
        <v>375</v>
      </c>
      <c r="P162" s="48">
        <v>1</v>
      </c>
      <c r="Q162" s="48"/>
      <c r="R162" s="48"/>
      <c r="S162" s="48"/>
      <c r="T162" s="48"/>
      <c r="U162" s="59">
        <f t="shared" si="25"/>
        <v>2517.024</v>
      </c>
      <c r="V162" s="48">
        <f t="shared" si="29"/>
        <v>0</v>
      </c>
      <c r="W162" s="49" t="s">
        <v>345</v>
      </c>
      <c r="X162" s="58">
        <f t="shared" si="26"/>
        <v>0</v>
      </c>
      <c r="Z162">
        <f t="shared" si="28"/>
        <v>0</v>
      </c>
      <c r="AA162">
        <f t="shared" si="27"/>
        <v>0</v>
      </c>
    </row>
    <row r="163" ht="16.5" hidden="1" spans="1:27">
      <c r="A163" s="5">
        <v>48</v>
      </c>
      <c r="B163" s="5" t="s">
        <v>31</v>
      </c>
      <c r="C163" s="6" t="s">
        <v>39</v>
      </c>
      <c r="D163" s="6">
        <v>16</v>
      </c>
      <c r="E163" s="49">
        <v>2000</v>
      </c>
      <c r="F163" s="6">
        <v>10200</v>
      </c>
      <c r="G163" s="8" t="s">
        <v>33</v>
      </c>
      <c r="H163" s="5">
        <v>1</v>
      </c>
      <c r="I163" s="9">
        <f t="shared" ref="I163:I200" si="30">E163*H163*F163*D163*7.85/1000000</f>
        <v>2562.24</v>
      </c>
      <c r="J163" s="13" t="s">
        <v>38</v>
      </c>
      <c r="K163" s="48" t="s">
        <v>78</v>
      </c>
      <c r="L163" s="48"/>
      <c r="M163" s="49" t="s">
        <v>345</v>
      </c>
      <c r="N163" s="48"/>
      <c r="O163" s="48"/>
      <c r="P163" s="48"/>
      <c r="Q163" s="48"/>
      <c r="R163" s="48"/>
      <c r="S163" s="48"/>
      <c r="T163" s="48"/>
      <c r="U163" s="59">
        <f t="shared" ref="U163:U200" si="31">D163*E163*F163*(P163+R163+T163)*7.85/1000/1000</f>
        <v>0</v>
      </c>
      <c r="V163" s="48">
        <f t="shared" si="29"/>
        <v>1</v>
      </c>
      <c r="W163" s="49" t="s">
        <v>345</v>
      </c>
      <c r="X163" s="58">
        <f t="shared" ref="X163:X200" si="32">F163*V163</f>
        <v>10200</v>
      </c>
      <c r="Z163">
        <f t="shared" si="28"/>
        <v>2562.24</v>
      </c>
      <c r="AA163">
        <f t="shared" ref="AA163:AA200" si="33">I163-U163-Z163</f>
        <v>0</v>
      </c>
    </row>
    <row r="164" ht="16.5" hidden="1" spans="1:27">
      <c r="A164" s="5">
        <v>46</v>
      </c>
      <c r="B164" s="5" t="s">
        <v>31</v>
      </c>
      <c r="C164" s="6" t="s">
        <v>39</v>
      </c>
      <c r="D164" s="6">
        <v>16</v>
      </c>
      <c r="E164" s="20">
        <v>2000</v>
      </c>
      <c r="F164" s="6">
        <v>10200</v>
      </c>
      <c r="G164" s="8" t="s">
        <v>33</v>
      </c>
      <c r="H164" s="5">
        <v>1</v>
      </c>
      <c r="I164" s="9">
        <f t="shared" si="30"/>
        <v>2562.24</v>
      </c>
      <c r="J164" s="13" t="s">
        <v>38</v>
      </c>
      <c r="K164" s="48" t="s">
        <v>84</v>
      </c>
      <c r="L164" s="48"/>
      <c r="M164" s="49" t="s">
        <v>345</v>
      </c>
      <c r="N164" s="48"/>
      <c r="O164" s="48"/>
      <c r="P164" s="48"/>
      <c r="Q164" s="48"/>
      <c r="R164" s="48"/>
      <c r="S164" s="48"/>
      <c r="T164" s="48"/>
      <c r="U164" s="59">
        <f t="shared" si="31"/>
        <v>0</v>
      </c>
      <c r="V164" s="48">
        <f t="shared" si="29"/>
        <v>1</v>
      </c>
      <c r="W164" s="49" t="s">
        <v>345</v>
      </c>
      <c r="X164" s="58">
        <f t="shared" si="32"/>
        <v>10200</v>
      </c>
      <c r="Z164">
        <f t="shared" si="28"/>
        <v>2562.24</v>
      </c>
      <c r="AA164">
        <f t="shared" si="33"/>
        <v>0</v>
      </c>
    </row>
    <row r="165" ht="16.5" spans="1:27">
      <c r="A165" s="5">
        <v>35</v>
      </c>
      <c r="B165" s="5" t="s">
        <v>31</v>
      </c>
      <c r="C165" s="6" t="s">
        <v>32</v>
      </c>
      <c r="D165" s="6">
        <v>16</v>
      </c>
      <c r="E165" s="10">
        <v>2000</v>
      </c>
      <c r="F165" s="61">
        <v>10330</v>
      </c>
      <c r="G165" s="8" t="s">
        <v>33</v>
      </c>
      <c r="H165" s="10">
        <v>1</v>
      </c>
      <c r="I165" s="9">
        <f t="shared" si="30"/>
        <v>2594.896</v>
      </c>
      <c r="J165" s="13" t="s">
        <v>11</v>
      </c>
      <c r="K165" s="48" t="s">
        <v>84</v>
      </c>
      <c r="L165" s="48" t="s">
        <v>328</v>
      </c>
      <c r="M165" s="49" t="s">
        <v>339</v>
      </c>
      <c r="N165" s="62" t="s">
        <v>338</v>
      </c>
      <c r="O165" s="33" t="s">
        <v>376</v>
      </c>
      <c r="P165" s="48">
        <v>1</v>
      </c>
      <c r="Q165" s="48"/>
      <c r="R165" s="48"/>
      <c r="S165" s="48"/>
      <c r="T165" s="48"/>
      <c r="U165" s="59">
        <f t="shared" si="31"/>
        <v>2594.896</v>
      </c>
      <c r="V165" s="48">
        <f t="shared" si="29"/>
        <v>0</v>
      </c>
      <c r="W165" s="49" t="s">
        <v>345</v>
      </c>
      <c r="X165" s="58">
        <f t="shared" si="32"/>
        <v>0</v>
      </c>
      <c r="Z165">
        <f t="shared" ref="Z165:Z200" si="34">D165*E165*X165*7.85/1000/1000</f>
        <v>0</v>
      </c>
      <c r="AA165">
        <f t="shared" si="33"/>
        <v>0</v>
      </c>
    </row>
    <row r="166" ht="16.5" hidden="1" spans="1:27">
      <c r="A166" s="5">
        <v>37</v>
      </c>
      <c r="B166" s="5" t="s">
        <v>31</v>
      </c>
      <c r="C166" s="6" t="s">
        <v>32</v>
      </c>
      <c r="D166" s="6">
        <v>16</v>
      </c>
      <c r="E166" s="49">
        <v>2000</v>
      </c>
      <c r="F166" s="6">
        <v>10430</v>
      </c>
      <c r="G166" s="8" t="s">
        <v>33</v>
      </c>
      <c r="H166" s="5">
        <v>1</v>
      </c>
      <c r="I166" s="9">
        <f t="shared" si="30"/>
        <v>2620.016</v>
      </c>
      <c r="J166" s="5" t="s">
        <v>35</v>
      </c>
      <c r="K166" s="48" t="s">
        <v>72</v>
      </c>
      <c r="L166" s="48"/>
      <c r="M166" s="7">
        <v>3</v>
      </c>
      <c r="N166" s="48" t="s">
        <v>307</v>
      </c>
      <c r="O166" s="54" t="s">
        <v>377</v>
      </c>
      <c r="P166" s="33">
        <v>1</v>
      </c>
      <c r="Q166" s="48"/>
      <c r="R166" s="48"/>
      <c r="S166" s="48"/>
      <c r="T166" s="48"/>
      <c r="U166" s="59">
        <f t="shared" si="31"/>
        <v>2620.016</v>
      </c>
      <c r="V166" s="48">
        <f t="shared" si="29"/>
        <v>0</v>
      </c>
      <c r="W166" s="49" t="s">
        <v>345</v>
      </c>
      <c r="X166" s="58">
        <f t="shared" si="32"/>
        <v>0</v>
      </c>
      <c r="Z166">
        <f t="shared" si="34"/>
        <v>0</v>
      </c>
      <c r="AA166">
        <f t="shared" si="33"/>
        <v>0</v>
      </c>
    </row>
    <row r="167" ht="16.5" spans="1:27">
      <c r="A167" s="5">
        <v>59</v>
      </c>
      <c r="B167" s="5" t="s">
        <v>31</v>
      </c>
      <c r="C167" s="6" t="s">
        <v>32</v>
      </c>
      <c r="D167" s="6">
        <v>16</v>
      </c>
      <c r="E167" s="10">
        <v>2000</v>
      </c>
      <c r="F167" s="61">
        <v>10530</v>
      </c>
      <c r="G167" s="8" t="s">
        <v>33</v>
      </c>
      <c r="H167" s="10">
        <v>1</v>
      </c>
      <c r="I167" s="9">
        <f t="shared" si="30"/>
        <v>2645.136</v>
      </c>
      <c r="J167" s="13" t="s">
        <v>34</v>
      </c>
      <c r="K167" s="48" t="s">
        <v>84</v>
      </c>
      <c r="L167" s="48" t="s">
        <v>328</v>
      </c>
      <c r="M167" s="49" t="s">
        <v>339</v>
      </c>
      <c r="N167" s="62" t="s">
        <v>338</v>
      </c>
      <c r="O167" s="33" t="s">
        <v>378</v>
      </c>
      <c r="P167" s="48">
        <v>1</v>
      </c>
      <c r="Q167" s="48"/>
      <c r="R167" s="48"/>
      <c r="S167" s="48"/>
      <c r="T167" s="48"/>
      <c r="U167" s="59">
        <f t="shared" si="31"/>
        <v>2645.136</v>
      </c>
      <c r="V167" s="48">
        <f t="shared" ref="V167:V200" si="35">H167-P167-R167-T167</f>
        <v>0</v>
      </c>
      <c r="W167" s="49" t="s">
        <v>345</v>
      </c>
      <c r="X167" s="58">
        <f t="shared" si="32"/>
        <v>0</v>
      </c>
      <c r="Z167">
        <f t="shared" si="34"/>
        <v>0</v>
      </c>
      <c r="AA167">
        <f t="shared" si="33"/>
        <v>0</v>
      </c>
    </row>
    <row r="168" ht="16.5" spans="1:27">
      <c r="A168" s="5">
        <v>43</v>
      </c>
      <c r="B168" s="5" t="s">
        <v>31</v>
      </c>
      <c r="C168" s="6" t="s">
        <v>32</v>
      </c>
      <c r="D168" s="6">
        <v>16</v>
      </c>
      <c r="E168" s="7">
        <v>2000</v>
      </c>
      <c r="F168" s="61">
        <v>10540</v>
      </c>
      <c r="G168" s="8" t="s">
        <v>33</v>
      </c>
      <c r="H168" s="10">
        <v>1</v>
      </c>
      <c r="I168" s="9">
        <f t="shared" si="30"/>
        <v>2647.648</v>
      </c>
      <c r="J168" s="13" t="s">
        <v>34</v>
      </c>
      <c r="K168" s="48" t="s">
        <v>89</v>
      </c>
      <c r="L168" s="48" t="s">
        <v>328</v>
      </c>
      <c r="M168" s="49" t="s">
        <v>339</v>
      </c>
      <c r="N168" s="62" t="s">
        <v>338</v>
      </c>
      <c r="O168" s="33" t="s">
        <v>379</v>
      </c>
      <c r="P168" s="48">
        <v>1</v>
      </c>
      <c r="Q168" s="48"/>
      <c r="R168" s="48"/>
      <c r="S168" s="48"/>
      <c r="T168" s="48"/>
      <c r="U168" s="59">
        <f t="shared" si="31"/>
        <v>2647.648</v>
      </c>
      <c r="V168" s="48">
        <f t="shared" si="35"/>
        <v>0</v>
      </c>
      <c r="W168" s="49" t="s">
        <v>345</v>
      </c>
      <c r="X168" s="58">
        <f t="shared" si="32"/>
        <v>0</v>
      </c>
      <c r="Z168">
        <f t="shared" si="34"/>
        <v>0</v>
      </c>
      <c r="AA168">
        <f t="shared" si="33"/>
        <v>0</v>
      </c>
    </row>
    <row r="169" ht="16.5" hidden="1" spans="1:27">
      <c r="A169" s="5">
        <v>48</v>
      </c>
      <c r="B169" s="5" t="s">
        <v>31</v>
      </c>
      <c r="C169" s="6" t="s">
        <v>32</v>
      </c>
      <c r="D169" s="6">
        <v>16</v>
      </c>
      <c r="E169" s="20">
        <v>2000</v>
      </c>
      <c r="F169" s="6">
        <v>10620</v>
      </c>
      <c r="G169" s="8" t="s">
        <v>33</v>
      </c>
      <c r="H169" s="5">
        <v>1</v>
      </c>
      <c r="I169" s="9">
        <f t="shared" si="30"/>
        <v>2667.744</v>
      </c>
      <c r="J169" s="13" t="s">
        <v>11</v>
      </c>
      <c r="K169" s="48" t="s">
        <v>84</v>
      </c>
      <c r="L169" s="48"/>
      <c r="M169" s="49" t="s">
        <v>345</v>
      </c>
      <c r="N169" s="48"/>
      <c r="O169" s="48"/>
      <c r="P169" s="48"/>
      <c r="Q169" s="48"/>
      <c r="R169" s="48"/>
      <c r="S169" s="48"/>
      <c r="T169" s="48"/>
      <c r="U169" s="59">
        <f t="shared" si="31"/>
        <v>0</v>
      </c>
      <c r="V169" s="48">
        <f t="shared" si="35"/>
        <v>1</v>
      </c>
      <c r="W169" s="49" t="s">
        <v>345</v>
      </c>
      <c r="X169" s="58">
        <f t="shared" si="32"/>
        <v>10620</v>
      </c>
      <c r="Z169">
        <f t="shared" si="34"/>
        <v>2667.744</v>
      </c>
      <c r="AA169">
        <f t="shared" si="33"/>
        <v>0</v>
      </c>
    </row>
    <row r="170" ht="16.5" hidden="1" spans="1:27">
      <c r="A170" s="5">
        <v>50</v>
      </c>
      <c r="B170" s="5" t="s">
        <v>31</v>
      </c>
      <c r="C170" s="6" t="s">
        <v>32</v>
      </c>
      <c r="D170" s="6">
        <v>16</v>
      </c>
      <c r="E170" s="49">
        <v>2000</v>
      </c>
      <c r="F170" s="6">
        <v>10760</v>
      </c>
      <c r="G170" s="8" t="s">
        <v>33</v>
      </c>
      <c r="H170" s="5">
        <v>2</v>
      </c>
      <c r="I170" s="9">
        <f t="shared" si="30"/>
        <v>5405.824</v>
      </c>
      <c r="J170" s="13" t="s">
        <v>11</v>
      </c>
      <c r="K170" s="48" t="s">
        <v>72</v>
      </c>
      <c r="L170" s="48"/>
      <c r="M170" s="49" t="s">
        <v>345</v>
      </c>
      <c r="N170" s="48"/>
      <c r="O170" s="48"/>
      <c r="P170" s="48"/>
      <c r="Q170" s="48"/>
      <c r="R170" s="48"/>
      <c r="S170" s="48"/>
      <c r="T170" s="48"/>
      <c r="U170" s="59">
        <f t="shared" si="31"/>
        <v>0</v>
      </c>
      <c r="V170" s="48">
        <f t="shared" si="35"/>
        <v>2</v>
      </c>
      <c r="W170" s="49" t="s">
        <v>345</v>
      </c>
      <c r="X170" s="58">
        <f t="shared" si="32"/>
        <v>21520</v>
      </c>
      <c r="Z170">
        <f t="shared" si="34"/>
        <v>5405.824</v>
      </c>
      <c r="AA170">
        <f t="shared" si="33"/>
        <v>0</v>
      </c>
    </row>
    <row r="171" ht="16.5" hidden="1" spans="1:27">
      <c r="A171" s="5">
        <v>48</v>
      </c>
      <c r="B171" s="5" t="s">
        <v>31</v>
      </c>
      <c r="C171" s="6" t="s">
        <v>39</v>
      </c>
      <c r="D171" s="6">
        <v>16</v>
      </c>
      <c r="E171" s="49">
        <v>2000</v>
      </c>
      <c r="F171" s="6">
        <v>10800</v>
      </c>
      <c r="G171" s="8" t="s">
        <v>33</v>
      </c>
      <c r="H171" s="5">
        <v>1</v>
      </c>
      <c r="I171" s="9">
        <f t="shared" si="30"/>
        <v>2712.96</v>
      </c>
      <c r="J171" s="13" t="s">
        <v>38</v>
      </c>
      <c r="K171" s="48" t="s">
        <v>72</v>
      </c>
      <c r="L171" s="48"/>
      <c r="M171" s="49" t="s">
        <v>345</v>
      </c>
      <c r="N171" s="48"/>
      <c r="O171" s="48"/>
      <c r="P171" s="48"/>
      <c r="Q171" s="48"/>
      <c r="R171" s="48"/>
      <c r="S171" s="48"/>
      <c r="T171" s="48"/>
      <c r="U171" s="59">
        <f t="shared" si="31"/>
        <v>0</v>
      </c>
      <c r="V171" s="48">
        <f t="shared" si="35"/>
        <v>1</v>
      </c>
      <c r="W171" s="49" t="s">
        <v>345</v>
      </c>
      <c r="X171" s="58">
        <f t="shared" si="32"/>
        <v>10800</v>
      </c>
      <c r="Z171">
        <f t="shared" si="34"/>
        <v>2712.96</v>
      </c>
      <c r="AA171">
        <f t="shared" si="33"/>
        <v>0</v>
      </c>
    </row>
    <row r="172" ht="16.5" hidden="1" spans="1:27">
      <c r="A172" s="5">
        <v>44</v>
      </c>
      <c r="B172" s="5" t="s">
        <v>31</v>
      </c>
      <c r="C172" s="6" t="s">
        <v>32</v>
      </c>
      <c r="D172" s="6">
        <v>16</v>
      </c>
      <c r="E172" s="49">
        <v>2000</v>
      </c>
      <c r="F172" s="6">
        <v>10910</v>
      </c>
      <c r="G172" s="8" t="s">
        <v>33</v>
      </c>
      <c r="H172" s="5">
        <v>1</v>
      </c>
      <c r="I172" s="9">
        <f t="shared" si="30"/>
        <v>2740.592</v>
      </c>
      <c r="J172" s="13" t="s">
        <v>34</v>
      </c>
      <c r="K172" s="48" t="s">
        <v>89</v>
      </c>
      <c r="L172" s="48"/>
      <c r="M172" s="49" t="s">
        <v>345</v>
      </c>
      <c r="N172" s="48"/>
      <c r="O172" s="48"/>
      <c r="P172" s="48"/>
      <c r="Q172" s="48"/>
      <c r="R172" s="48"/>
      <c r="S172" s="48"/>
      <c r="T172" s="48"/>
      <c r="U172" s="59">
        <f t="shared" si="31"/>
        <v>0</v>
      </c>
      <c r="V172" s="48">
        <f t="shared" si="35"/>
        <v>1</v>
      </c>
      <c r="W172" s="49" t="s">
        <v>345</v>
      </c>
      <c r="X172" s="58">
        <f t="shared" si="32"/>
        <v>10910</v>
      </c>
      <c r="Z172">
        <f t="shared" si="34"/>
        <v>2740.592</v>
      </c>
      <c r="AA172">
        <f t="shared" si="33"/>
        <v>0</v>
      </c>
    </row>
    <row r="173" ht="16.5" hidden="1" spans="1:27">
      <c r="A173" s="5">
        <v>51</v>
      </c>
      <c r="B173" s="5" t="s">
        <v>31</v>
      </c>
      <c r="C173" s="6" t="s">
        <v>32</v>
      </c>
      <c r="D173" s="6">
        <v>16</v>
      </c>
      <c r="E173" s="49">
        <v>2000</v>
      </c>
      <c r="F173" s="6">
        <v>10930</v>
      </c>
      <c r="G173" s="8" t="s">
        <v>33</v>
      </c>
      <c r="H173" s="5">
        <v>1</v>
      </c>
      <c r="I173" s="9">
        <f t="shared" si="30"/>
        <v>2745.616</v>
      </c>
      <c r="J173" s="13" t="s">
        <v>11</v>
      </c>
      <c r="K173" s="48" t="s">
        <v>72</v>
      </c>
      <c r="L173" s="48"/>
      <c r="M173" s="49" t="s">
        <v>345</v>
      </c>
      <c r="N173" s="48"/>
      <c r="O173" s="48"/>
      <c r="P173" s="48"/>
      <c r="Q173" s="48"/>
      <c r="R173" s="48"/>
      <c r="S173" s="48"/>
      <c r="T173" s="48"/>
      <c r="U173" s="59">
        <f t="shared" si="31"/>
        <v>0</v>
      </c>
      <c r="V173" s="48">
        <f t="shared" si="35"/>
        <v>1</v>
      </c>
      <c r="W173" s="49" t="s">
        <v>345</v>
      </c>
      <c r="X173" s="58">
        <f t="shared" si="32"/>
        <v>10930</v>
      </c>
      <c r="Z173">
        <f t="shared" si="34"/>
        <v>2745.616</v>
      </c>
      <c r="AA173">
        <f t="shared" si="33"/>
        <v>0</v>
      </c>
    </row>
    <row r="174" ht="16.5" hidden="1" spans="1:27">
      <c r="A174" s="5">
        <v>55</v>
      </c>
      <c r="B174" s="5" t="s">
        <v>31</v>
      </c>
      <c r="C174" s="6" t="s">
        <v>32</v>
      </c>
      <c r="D174" s="6">
        <v>16</v>
      </c>
      <c r="E174" s="20">
        <v>2000</v>
      </c>
      <c r="F174" s="6">
        <v>10970</v>
      </c>
      <c r="G174" s="8" t="s">
        <v>33</v>
      </c>
      <c r="H174" s="5">
        <v>1</v>
      </c>
      <c r="I174" s="9">
        <f t="shared" si="30"/>
        <v>2755.664</v>
      </c>
      <c r="J174" s="13" t="s">
        <v>11</v>
      </c>
      <c r="K174" s="48" t="s">
        <v>84</v>
      </c>
      <c r="L174" s="48"/>
      <c r="M174" s="49" t="s">
        <v>345</v>
      </c>
      <c r="N174" s="48"/>
      <c r="O174" s="48"/>
      <c r="P174" s="48"/>
      <c r="Q174" s="48"/>
      <c r="R174" s="48"/>
      <c r="S174" s="48"/>
      <c r="T174" s="48"/>
      <c r="U174" s="59">
        <f t="shared" si="31"/>
        <v>0</v>
      </c>
      <c r="V174" s="48">
        <f t="shared" si="35"/>
        <v>1</v>
      </c>
      <c r="W174" s="49" t="s">
        <v>345</v>
      </c>
      <c r="X174" s="58">
        <f t="shared" si="32"/>
        <v>10970</v>
      </c>
      <c r="Z174">
        <f t="shared" si="34"/>
        <v>2755.664</v>
      </c>
      <c r="AA174">
        <f t="shared" si="33"/>
        <v>0</v>
      </c>
    </row>
    <row r="175" ht="16.5" hidden="1" spans="1:27">
      <c r="A175" s="5">
        <v>38</v>
      </c>
      <c r="B175" s="5" t="s">
        <v>31</v>
      </c>
      <c r="C175" s="6" t="s">
        <v>32</v>
      </c>
      <c r="D175" s="6">
        <v>16</v>
      </c>
      <c r="E175" s="20">
        <v>2000</v>
      </c>
      <c r="F175" s="6">
        <v>10990</v>
      </c>
      <c r="G175" s="8" t="s">
        <v>33</v>
      </c>
      <c r="H175" s="5">
        <v>1</v>
      </c>
      <c r="I175" s="9">
        <f t="shared" si="30"/>
        <v>2760.688</v>
      </c>
      <c r="J175" s="13" t="s">
        <v>11</v>
      </c>
      <c r="K175" s="48" t="s">
        <v>84</v>
      </c>
      <c r="L175" s="48"/>
      <c r="M175" s="49" t="s">
        <v>345</v>
      </c>
      <c r="N175" s="48"/>
      <c r="O175" s="48"/>
      <c r="P175" s="48"/>
      <c r="Q175" s="48"/>
      <c r="R175" s="48"/>
      <c r="S175" s="48"/>
      <c r="T175" s="48"/>
      <c r="U175" s="59">
        <f t="shared" si="31"/>
        <v>0</v>
      </c>
      <c r="V175" s="48">
        <f t="shared" si="35"/>
        <v>1</v>
      </c>
      <c r="W175" s="49" t="s">
        <v>345</v>
      </c>
      <c r="X175" s="58">
        <f t="shared" si="32"/>
        <v>10990</v>
      </c>
      <c r="Z175">
        <f t="shared" si="34"/>
        <v>2760.688</v>
      </c>
      <c r="AA175">
        <f t="shared" si="33"/>
        <v>0</v>
      </c>
    </row>
    <row r="176" ht="16.5" hidden="1" spans="1:27">
      <c r="A176" s="5">
        <v>52</v>
      </c>
      <c r="B176" s="5" t="s">
        <v>31</v>
      </c>
      <c r="C176" s="6" t="s">
        <v>32</v>
      </c>
      <c r="D176" s="6">
        <v>16</v>
      </c>
      <c r="E176" s="49">
        <v>2000</v>
      </c>
      <c r="F176" s="6">
        <v>11080</v>
      </c>
      <c r="G176" s="8" t="s">
        <v>33</v>
      </c>
      <c r="H176" s="5">
        <v>1</v>
      </c>
      <c r="I176" s="9">
        <f t="shared" si="30"/>
        <v>2783.296</v>
      </c>
      <c r="J176" s="13" t="s">
        <v>11</v>
      </c>
      <c r="K176" s="48" t="s">
        <v>72</v>
      </c>
      <c r="L176" s="48"/>
      <c r="M176" s="7">
        <v>13</v>
      </c>
      <c r="N176" s="48" t="s">
        <v>310</v>
      </c>
      <c r="O176" s="54" t="s">
        <v>380</v>
      </c>
      <c r="P176" s="33">
        <v>1</v>
      </c>
      <c r="Q176" s="48"/>
      <c r="R176" s="48"/>
      <c r="S176" s="48"/>
      <c r="T176" s="48"/>
      <c r="U176" s="59">
        <f t="shared" si="31"/>
        <v>2783.296</v>
      </c>
      <c r="V176" s="48">
        <f t="shared" si="35"/>
        <v>0</v>
      </c>
      <c r="W176" s="49" t="s">
        <v>345</v>
      </c>
      <c r="X176" s="58">
        <f t="shared" si="32"/>
        <v>0</v>
      </c>
      <c r="Z176">
        <f t="shared" si="34"/>
        <v>0</v>
      </c>
      <c r="AA176">
        <f t="shared" si="33"/>
        <v>0</v>
      </c>
    </row>
    <row r="177" ht="16.5" hidden="1" spans="1:27">
      <c r="A177" s="5">
        <v>30</v>
      </c>
      <c r="B177" s="5" t="s">
        <v>31</v>
      </c>
      <c r="C177" s="6" t="s">
        <v>32</v>
      </c>
      <c r="D177" s="6">
        <v>16</v>
      </c>
      <c r="E177" s="49">
        <v>2000</v>
      </c>
      <c r="F177" s="6">
        <v>11100</v>
      </c>
      <c r="G177" s="8" t="s">
        <v>33</v>
      </c>
      <c r="H177" s="5">
        <v>1</v>
      </c>
      <c r="I177" s="9">
        <f t="shared" si="30"/>
        <v>2788.32</v>
      </c>
      <c r="J177" s="13" t="s">
        <v>36</v>
      </c>
      <c r="K177" s="48" t="s">
        <v>72</v>
      </c>
      <c r="L177" s="48"/>
      <c r="M177" s="7">
        <v>16</v>
      </c>
      <c r="N177" s="48" t="s">
        <v>310</v>
      </c>
      <c r="O177" s="54" t="s">
        <v>381</v>
      </c>
      <c r="P177" s="33">
        <v>1</v>
      </c>
      <c r="Q177" s="48"/>
      <c r="R177" s="48"/>
      <c r="S177" s="48"/>
      <c r="T177" s="48"/>
      <c r="U177" s="59">
        <f t="shared" si="31"/>
        <v>2788.32</v>
      </c>
      <c r="V177" s="48">
        <f t="shared" si="35"/>
        <v>0</v>
      </c>
      <c r="W177" s="49" t="s">
        <v>345</v>
      </c>
      <c r="X177" s="58">
        <f t="shared" si="32"/>
        <v>0</v>
      </c>
      <c r="Z177">
        <f t="shared" si="34"/>
        <v>0</v>
      </c>
      <c r="AA177">
        <f t="shared" si="33"/>
        <v>0</v>
      </c>
    </row>
    <row r="178" ht="16.5" hidden="1" spans="1:27">
      <c r="A178" s="5">
        <v>49</v>
      </c>
      <c r="B178" s="5" t="s">
        <v>31</v>
      </c>
      <c r="C178" s="6" t="s">
        <v>32</v>
      </c>
      <c r="D178" s="6">
        <v>16</v>
      </c>
      <c r="E178" s="20">
        <v>2000</v>
      </c>
      <c r="F178" s="6">
        <v>11100</v>
      </c>
      <c r="G178" s="8" t="s">
        <v>33</v>
      </c>
      <c r="H178" s="5">
        <v>1</v>
      </c>
      <c r="I178" s="9">
        <f t="shared" si="30"/>
        <v>2788.32</v>
      </c>
      <c r="J178" s="13" t="s">
        <v>11</v>
      </c>
      <c r="K178" s="48" t="s">
        <v>84</v>
      </c>
      <c r="L178" s="48"/>
      <c r="M178" s="49" t="s">
        <v>345</v>
      </c>
      <c r="N178" s="48"/>
      <c r="O178" s="48"/>
      <c r="P178" s="48"/>
      <c r="Q178" s="48"/>
      <c r="R178" s="48"/>
      <c r="S178" s="48"/>
      <c r="T178" s="48"/>
      <c r="U178" s="59">
        <f t="shared" si="31"/>
        <v>0</v>
      </c>
      <c r="V178" s="48">
        <f t="shared" si="35"/>
        <v>1</v>
      </c>
      <c r="W178" s="49" t="s">
        <v>345</v>
      </c>
      <c r="X178" s="58">
        <f t="shared" si="32"/>
        <v>11100</v>
      </c>
      <c r="Z178">
        <f t="shared" si="34"/>
        <v>2788.32</v>
      </c>
      <c r="AA178">
        <f t="shared" si="33"/>
        <v>0</v>
      </c>
    </row>
    <row r="179" ht="16.5" hidden="1" spans="1:27">
      <c r="A179" s="5">
        <v>53</v>
      </c>
      <c r="B179" s="5" t="s">
        <v>31</v>
      </c>
      <c r="C179" s="6" t="s">
        <v>32</v>
      </c>
      <c r="D179" s="6">
        <v>16</v>
      </c>
      <c r="E179" s="49">
        <v>2000</v>
      </c>
      <c r="F179" s="6">
        <v>11130</v>
      </c>
      <c r="G179" s="8" t="s">
        <v>33</v>
      </c>
      <c r="H179" s="5">
        <v>1</v>
      </c>
      <c r="I179" s="9">
        <f t="shared" si="30"/>
        <v>2795.856</v>
      </c>
      <c r="J179" s="13" t="s">
        <v>11</v>
      </c>
      <c r="K179" s="48" t="s">
        <v>72</v>
      </c>
      <c r="L179" s="48"/>
      <c r="M179" s="7">
        <v>19</v>
      </c>
      <c r="N179" s="48" t="s">
        <v>310</v>
      </c>
      <c r="O179" s="54" t="s">
        <v>382</v>
      </c>
      <c r="P179" s="33">
        <v>1</v>
      </c>
      <c r="Q179" s="48"/>
      <c r="R179" s="48"/>
      <c r="S179" s="48"/>
      <c r="T179" s="48"/>
      <c r="U179" s="59">
        <f t="shared" si="31"/>
        <v>2795.856</v>
      </c>
      <c r="V179" s="48">
        <f t="shared" si="35"/>
        <v>0</v>
      </c>
      <c r="W179" s="49" t="s">
        <v>345</v>
      </c>
      <c r="X179" s="58">
        <f t="shared" si="32"/>
        <v>0</v>
      </c>
      <c r="Z179">
        <f t="shared" si="34"/>
        <v>0</v>
      </c>
      <c r="AA179">
        <f t="shared" si="33"/>
        <v>0</v>
      </c>
    </row>
    <row r="180" ht="16.5" hidden="1" spans="1:27">
      <c r="A180" s="5">
        <v>42</v>
      </c>
      <c r="B180" s="5" t="s">
        <v>31</v>
      </c>
      <c r="C180" s="6" t="s">
        <v>32</v>
      </c>
      <c r="D180" s="6">
        <v>16</v>
      </c>
      <c r="E180" s="7">
        <v>2000</v>
      </c>
      <c r="F180" s="61">
        <v>11130</v>
      </c>
      <c r="G180" s="8" t="s">
        <v>33</v>
      </c>
      <c r="H180" s="10">
        <v>1</v>
      </c>
      <c r="I180" s="9">
        <f t="shared" si="30"/>
        <v>2795.856</v>
      </c>
      <c r="J180" s="13" t="s">
        <v>11</v>
      </c>
      <c r="K180" s="48" t="s">
        <v>89</v>
      </c>
      <c r="L180" s="48" t="s">
        <v>328</v>
      </c>
      <c r="M180" s="49" t="s">
        <v>338</v>
      </c>
      <c r="N180" s="62" t="s">
        <v>78</v>
      </c>
      <c r="O180" s="54" t="s">
        <v>383</v>
      </c>
      <c r="P180" s="48">
        <v>1</v>
      </c>
      <c r="Q180" s="48"/>
      <c r="R180" s="48"/>
      <c r="S180" s="48"/>
      <c r="T180" s="48"/>
      <c r="U180" s="59">
        <f t="shared" si="31"/>
        <v>2795.856</v>
      </c>
      <c r="V180" s="48">
        <f t="shared" si="35"/>
        <v>0</v>
      </c>
      <c r="W180" s="49" t="s">
        <v>345</v>
      </c>
      <c r="X180" s="58">
        <f t="shared" si="32"/>
        <v>0</v>
      </c>
      <c r="Z180">
        <f t="shared" si="34"/>
        <v>0</v>
      </c>
      <c r="AA180">
        <f t="shared" si="33"/>
        <v>0</v>
      </c>
    </row>
    <row r="181" ht="16.5" hidden="1" spans="1:27">
      <c r="A181" s="5">
        <v>40</v>
      </c>
      <c r="B181" s="5" t="s">
        <v>31</v>
      </c>
      <c r="C181" s="6" t="s">
        <v>32</v>
      </c>
      <c r="D181" s="6">
        <v>16</v>
      </c>
      <c r="E181" s="49">
        <v>2000</v>
      </c>
      <c r="F181" s="6">
        <v>11150</v>
      </c>
      <c r="G181" s="8" t="s">
        <v>33</v>
      </c>
      <c r="H181" s="5">
        <v>1</v>
      </c>
      <c r="I181" s="9">
        <f t="shared" si="30"/>
        <v>2800.88</v>
      </c>
      <c r="J181" s="13" t="s">
        <v>11</v>
      </c>
      <c r="K181" s="48" t="s">
        <v>72</v>
      </c>
      <c r="L181" s="48"/>
      <c r="M181" s="49" t="s">
        <v>345</v>
      </c>
      <c r="N181" s="48"/>
      <c r="O181" s="48"/>
      <c r="P181" s="48"/>
      <c r="Q181" s="48"/>
      <c r="R181" s="48"/>
      <c r="S181" s="48"/>
      <c r="T181" s="48"/>
      <c r="U181" s="59">
        <f t="shared" si="31"/>
        <v>0</v>
      </c>
      <c r="V181" s="48">
        <f t="shared" si="35"/>
        <v>1</v>
      </c>
      <c r="W181" s="49" t="s">
        <v>345</v>
      </c>
      <c r="X181" s="58">
        <f t="shared" si="32"/>
        <v>11150</v>
      </c>
      <c r="Z181">
        <f t="shared" si="34"/>
        <v>2800.88</v>
      </c>
      <c r="AA181">
        <f t="shared" si="33"/>
        <v>0</v>
      </c>
    </row>
    <row r="182" ht="16.5" hidden="1" spans="1:27">
      <c r="A182" s="5">
        <v>38</v>
      </c>
      <c r="B182" s="5" t="s">
        <v>31</v>
      </c>
      <c r="C182" s="6" t="s">
        <v>32</v>
      </c>
      <c r="D182" s="6">
        <v>16</v>
      </c>
      <c r="E182" s="49">
        <v>2000</v>
      </c>
      <c r="F182" s="6">
        <v>11210</v>
      </c>
      <c r="G182" s="8" t="s">
        <v>33</v>
      </c>
      <c r="H182" s="5">
        <v>1</v>
      </c>
      <c r="I182" s="9">
        <f t="shared" si="30"/>
        <v>2815.952</v>
      </c>
      <c r="J182" s="13" t="s">
        <v>11</v>
      </c>
      <c r="K182" s="48" t="s">
        <v>72</v>
      </c>
      <c r="L182" s="48"/>
      <c r="M182" s="49" t="s">
        <v>345</v>
      </c>
      <c r="N182" s="48"/>
      <c r="O182" s="48"/>
      <c r="P182" s="48"/>
      <c r="Q182" s="48"/>
      <c r="R182" s="48"/>
      <c r="S182" s="48"/>
      <c r="T182" s="48"/>
      <c r="U182" s="59">
        <f t="shared" si="31"/>
        <v>0</v>
      </c>
      <c r="V182" s="48">
        <f t="shared" si="35"/>
        <v>1</v>
      </c>
      <c r="W182" s="49" t="s">
        <v>345</v>
      </c>
      <c r="X182" s="58">
        <f t="shared" si="32"/>
        <v>11210</v>
      </c>
      <c r="Z182">
        <f t="shared" si="34"/>
        <v>2815.952</v>
      </c>
      <c r="AA182">
        <f t="shared" si="33"/>
        <v>0</v>
      </c>
    </row>
    <row r="183" ht="16.5" hidden="1" spans="1:27">
      <c r="A183" s="5">
        <v>56</v>
      </c>
      <c r="B183" s="5" t="s">
        <v>31</v>
      </c>
      <c r="C183" s="6" t="s">
        <v>32</v>
      </c>
      <c r="D183" s="6">
        <v>16</v>
      </c>
      <c r="E183" s="20">
        <v>2000</v>
      </c>
      <c r="F183" s="6">
        <v>11220</v>
      </c>
      <c r="G183" s="8" t="s">
        <v>33</v>
      </c>
      <c r="H183" s="5">
        <v>1</v>
      </c>
      <c r="I183" s="9">
        <f t="shared" si="30"/>
        <v>2818.464</v>
      </c>
      <c r="J183" s="13" t="s">
        <v>11</v>
      </c>
      <c r="K183" s="48" t="s">
        <v>84</v>
      </c>
      <c r="L183" s="48"/>
      <c r="M183" s="49" t="s">
        <v>345</v>
      </c>
      <c r="N183" s="48"/>
      <c r="O183" s="48"/>
      <c r="P183" s="48"/>
      <c r="Q183" s="48"/>
      <c r="R183" s="48"/>
      <c r="S183" s="48"/>
      <c r="T183" s="48"/>
      <c r="U183" s="59">
        <f t="shared" si="31"/>
        <v>0</v>
      </c>
      <c r="V183" s="48">
        <f t="shared" si="35"/>
        <v>1</v>
      </c>
      <c r="W183" s="49" t="s">
        <v>345</v>
      </c>
      <c r="X183" s="58">
        <f t="shared" si="32"/>
        <v>11220</v>
      </c>
      <c r="Z183">
        <f t="shared" si="34"/>
        <v>2818.464</v>
      </c>
      <c r="AA183">
        <f t="shared" si="33"/>
        <v>0</v>
      </c>
    </row>
    <row r="184" ht="16.5" hidden="1" spans="1:27">
      <c r="A184" s="5">
        <v>46</v>
      </c>
      <c r="B184" s="5" t="s">
        <v>31</v>
      </c>
      <c r="C184" s="6" t="s">
        <v>32</v>
      </c>
      <c r="D184" s="6">
        <v>16</v>
      </c>
      <c r="E184" s="49">
        <v>2000</v>
      </c>
      <c r="F184" s="6">
        <v>11260</v>
      </c>
      <c r="G184" s="8" t="s">
        <v>33</v>
      </c>
      <c r="H184" s="5">
        <v>1</v>
      </c>
      <c r="I184" s="9">
        <f t="shared" si="30"/>
        <v>2828.512</v>
      </c>
      <c r="J184" s="5" t="s">
        <v>35</v>
      </c>
      <c r="K184" s="48" t="s">
        <v>72</v>
      </c>
      <c r="L184" s="48"/>
      <c r="M184" s="49" t="s">
        <v>345</v>
      </c>
      <c r="N184" s="48"/>
      <c r="O184" s="48"/>
      <c r="P184" s="48"/>
      <c r="Q184" s="48"/>
      <c r="R184" s="48"/>
      <c r="S184" s="48"/>
      <c r="T184" s="48"/>
      <c r="U184" s="59">
        <f t="shared" si="31"/>
        <v>0</v>
      </c>
      <c r="V184" s="48">
        <f t="shared" si="35"/>
        <v>1</v>
      </c>
      <c r="W184" s="49" t="s">
        <v>345</v>
      </c>
      <c r="X184" s="58">
        <f t="shared" si="32"/>
        <v>11260</v>
      </c>
      <c r="Z184">
        <f t="shared" si="34"/>
        <v>2828.512</v>
      </c>
      <c r="AA184">
        <f t="shared" si="33"/>
        <v>0</v>
      </c>
    </row>
    <row r="185" ht="16.5" hidden="1" spans="1:27">
      <c r="A185" s="5">
        <v>46</v>
      </c>
      <c r="B185" s="5" t="s">
        <v>31</v>
      </c>
      <c r="C185" s="6" t="s">
        <v>32</v>
      </c>
      <c r="D185" s="6">
        <v>16</v>
      </c>
      <c r="E185" s="7">
        <v>2000</v>
      </c>
      <c r="F185" s="6">
        <f>(116000+112000+5000-7000)/4/5</f>
        <v>11300</v>
      </c>
      <c r="G185" s="8" t="s">
        <v>33</v>
      </c>
      <c r="H185" s="5">
        <v>5</v>
      </c>
      <c r="I185" s="9">
        <f t="shared" si="30"/>
        <v>14192.8</v>
      </c>
      <c r="J185" s="13" t="s">
        <v>19</v>
      </c>
      <c r="K185" s="48" t="s">
        <v>78</v>
      </c>
      <c r="L185" s="48"/>
      <c r="M185" s="49" t="s">
        <v>345</v>
      </c>
      <c r="N185" s="48"/>
      <c r="O185" s="48"/>
      <c r="P185" s="48"/>
      <c r="Q185" s="48"/>
      <c r="R185" s="48"/>
      <c r="S185" s="48"/>
      <c r="T185" s="48"/>
      <c r="U185" s="59">
        <f t="shared" si="31"/>
        <v>0</v>
      </c>
      <c r="V185" s="48">
        <f t="shared" si="35"/>
        <v>5</v>
      </c>
      <c r="W185" s="49" t="s">
        <v>345</v>
      </c>
      <c r="X185" s="58">
        <f t="shared" si="32"/>
        <v>56500</v>
      </c>
      <c r="Z185">
        <f t="shared" si="34"/>
        <v>14192.8</v>
      </c>
      <c r="AA185">
        <f t="shared" si="33"/>
        <v>0</v>
      </c>
    </row>
    <row r="186" ht="16.5" hidden="1" spans="1:27">
      <c r="A186" s="5">
        <v>41</v>
      </c>
      <c r="B186" s="5" t="s">
        <v>31</v>
      </c>
      <c r="C186" s="6" t="s">
        <v>32</v>
      </c>
      <c r="D186" s="6">
        <v>16</v>
      </c>
      <c r="E186" s="7">
        <v>2000</v>
      </c>
      <c r="F186" s="61">
        <v>11400</v>
      </c>
      <c r="G186" s="8" t="s">
        <v>33</v>
      </c>
      <c r="H186" s="10">
        <v>3</v>
      </c>
      <c r="I186" s="9">
        <f t="shared" si="30"/>
        <v>8591.04</v>
      </c>
      <c r="J186" s="13" t="s">
        <v>11</v>
      </c>
      <c r="K186" s="48" t="s">
        <v>72</v>
      </c>
      <c r="L186" s="48" t="s">
        <v>328</v>
      </c>
      <c r="M186" s="49" t="s">
        <v>339</v>
      </c>
      <c r="N186" s="62" t="s">
        <v>89</v>
      </c>
      <c r="O186" s="54" t="s">
        <v>384</v>
      </c>
      <c r="P186" s="48">
        <v>1</v>
      </c>
      <c r="Q186" s="48"/>
      <c r="R186" s="48"/>
      <c r="S186" s="48"/>
      <c r="T186" s="48"/>
      <c r="U186" s="59">
        <f t="shared" si="31"/>
        <v>2863.68</v>
      </c>
      <c r="V186" s="48">
        <f t="shared" si="35"/>
        <v>2</v>
      </c>
      <c r="W186" s="49" t="s">
        <v>345</v>
      </c>
      <c r="X186" s="58">
        <f t="shared" si="32"/>
        <v>22800</v>
      </c>
      <c r="Z186">
        <f t="shared" si="34"/>
        <v>5727.36</v>
      </c>
      <c r="AA186">
        <f t="shared" si="33"/>
        <v>0</v>
      </c>
    </row>
    <row r="187" ht="16.5" hidden="1" spans="1:27">
      <c r="A187" s="5">
        <v>42</v>
      </c>
      <c r="B187" s="5" t="s">
        <v>31</v>
      </c>
      <c r="C187" s="6" t="s">
        <v>32</v>
      </c>
      <c r="D187" s="6">
        <v>16</v>
      </c>
      <c r="E187" s="49">
        <v>2000</v>
      </c>
      <c r="F187" s="6">
        <v>11480</v>
      </c>
      <c r="G187" s="8" t="s">
        <v>33</v>
      </c>
      <c r="H187" s="5">
        <v>1</v>
      </c>
      <c r="I187" s="9">
        <f t="shared" si="30"/>
        <v>2883.776</v>
      </c>
      <c r="J187" s="13" t="s">
        <v>11</v>
      </c>
      <c r="K187" s="48" t="s">
        <v>72</v>
      </c>
      <c r="L187" s="48"/>
      <c r="M187" s="49">
        <v>30</v>
      </c>
      <c r="N187" s="48" t="s">
        <v>286</v>
      </c>
      <c r="O187" s="54" t="s">
        <v>385</v>
      </c>
      <c r="P187" s="33">
        <v>1</v>
      </c>
      <c r="Q187" s="48"/>
      <c r="R187" s="48"/>
      <c r="S187" s="48"/>
      <c r="T187" s="48"/>
      <c r="U187" s="59">
        <f t="shared" si="31"/>
        <v>2883.776</v>
      </c>
      <c r="V187" s="48">
        <f t="shared" si="35"/>
        <v>0</v>
      </c>
      <c r="W187" s="49" t="s">
        <v>345</v>
      </c>
      <c r="X187" s="58">
        <f t="shared" si="32"/>
        <v>0</v>
      </c>
      <c r="Z187">
        <f t="shared" si="34"/>
        <v>0</v>
      </c>
      <c r="AA187">
        <f t="shared" si="33"/>
        <v>0</v>
      </c>
    </row>
    <row r="188" ht="16.5" hidden="1" spans="1:27">
      <c r="A188" s="5">
        <v>43</v>
      </c>
      <c r="B188" s="5" t="s">
        <v>31</v>
      </c>
      <c r="C188" s="6" t="s">
        <v>32</v>
      </c>
      <c r="D188" s="6">
        <v>16</v>
      </c>
      <c r="E188" s="20">
        <v>2000</v>
      </c>
      <c r="F188" s="6">
        <v>11500</v>
      </c>
      <c r="G188" s="8" t="s">
        <v>33</v>
      </c>
      <c r="H188" s="5">
        <v>1</v>
      </c>
      <c r="I188" s="9">
        <f t="shared" si="30"/>
        <v>2888.8</v>
      </c>
      <c r="J188" s="13" t="s">
        <v>11</v>
      </c>
      <c r="K188" s="48" t="s">
        <v>84</v>
      </c>
      <c r="L188" s="48"/>
      <c r="M188" s="49" t="s">
        <v>345</v>
      </c>
      <c r="N188" s="48"/>
      <c r="O188" s="48"/>
      <c r="P188" s="48"/>
      <c r="Q188" s="48"/>
      <c r="R188" s="48"/>
      <c r="S188" s="48"/>
      <c r="T188" s="48"/>
      <c r="U188" s="59">
        <f t="shared" si="31"/>
        <v>0</v>
      </c>
      <c r="V188" s="48">
        <f t="shared" si="35"/>
        <v>1</v>
      </c>
      <c r="W188" s="49" t="s">
        <v>345</v>
      </c>
      <c r="X188" s="58">
        <f t="shared" si="32"/>
        <v>11500</v>
      </c>
      <c r="Z188">
        <f t="shared" si="34"/>
        <v>2888.8</v>
      </c>
      <c r="AA188">
        <f t="shared" si="33"/>
        <v>0</v>
      </c>
    </row>
    <row r="189" ht="16.5" hidden="1" spans="1:27">
      <c r="A189" s="5">
        <v>36</v>
      </c>
      <c r="B189" s="5" t="s">
        <v>31</v>
      </c>
      <c r="C189" s="6" t="s">
        <v>32</v>
      </c>
      <c r="D189" s="6">
        <v>16</v>
      </c>
      <c r="E189" s="20">
        <v>2000</v>
      </c>
      <c r="F189" s="6">
        <v>11590</v>
      </c>
      <c r="G189" s="8" t="s">
        <v>33</v>
      </c>
      <c r="H189" s="5">
        <v>1</v>
      </c>
      <c r="I189" s="9">
        <f t="shared" si="30"/>
        <v>2911.408</v>
      </c>
      <c r="J189" s="13" t="s">
        <v>36</v>
      </c>
      <c r="K189" s="48" t="s">
        <v>84</v>
      </c>
      <c r="L189" s="48"/>
      <c r="M189" s="49" t="s">
        <v>345</v>
      </c>
      <c r="N189" s="48"/>
      <c r="O189" s="48"/>
      <c r="P189" s="48"/>
      <c r="Q189" s="48"/>
      <c r="R189" s="48"/>
      <c r="S189" s="48"/>
      <c r="T189" s="48"/>
      <c r="U189" s="59">
        <f t="shared" si="31"/>
        <v>0</v>
      </c>
      <c r="V189" s="48">
        <f t="shared" si="35"/>
        <v>1</v>
      </c>
      <c r="W189" s="49" t="s">
        <v>345</v>
      </c>
      <c r="X189" s="58">
        <f t="shared" si="32"/>
        <v>11590</v>
      </c>
      <c r="Z189">
        <f t="shared" si="34"/>
        <v>2911.408</v>
      </c>
      <c r="AA189">
        <f t="shared" si="33"/>
        <v>0</v>
      </c>
    </row>
    <row r="190" ht="16.5" hidden="1" spans="1:27">
      <c r="A190" s="5">
        <v>54</v>
      </c>
      <c r="B190" s="5" t="s">
        <v>31</v>
      </c>
      <c r="C190" s="6" t="s">
        <v>32</v>
      </c>
      <c r="D190" s="6">
        <v>16</v>
      </c>
      <c r="E190" s="49">
        <v>2000</v>
      </c>
      <c r="F190" s="6">
        <v>11700</v>
      </c>
      <c r="G190" s="8" t="s">
        <v>33</v>
      </c>
      <c r="H190" s="5">
        <v>1</v>
      </c>
      <c r="I190" s="9">
        <f t="shared" si="30"/>
        <v>2939.04</v>
      </c>
      <c r="J190" s="13" t="s">
        <v>11</v>
      </c>
      <c r="K190" s="48" t="s">
        <v>72</v>
      </c>
      <c r="L190" s="48"/>
      <c r="M190" s="49" t="s">
        <v>345</v>
      </c>
      <c r="N190" s="48"/>
      <c r="O190" s="48"/>
      <c r="P190" s="48"/>
      <c r="Q190" s="48"/>
      <c r="R190" s="48"/>
      <c r="S190" s="48"/>
      <c r="T190" s="48"/>
      <c r="U190" s="59">
        <f t="shared" si="31"/>
        <v>0</v>
      </c>
      <c r="V190" s="48">
        <f t="shared" si="35"/>
        <v>1</v>
      </c>
      <c r="W190" s="49" t="s">
        <v>345</v>
      </c>
      <c r="X190" s="58">
        <f t="shared" si="32"/>
        <v>11700</v>
      </c>
      <c r="Z190">
        <f t="shared" si="34"/>
        <v>2939.04</v>
      </c>
      <c r="AA190">
        <f t="shared" si="33"/>
        <v>0</v>
      </c>
    </row>
    <row r="191" ht="16.5" hidden="1" spans="1:27">
      <c r="A191" s="5">
        <v>31</v>
      </c>
      <c r="B191" s="5" t="s">
        <v>31</v>
      </c>
      <c r="C191" s="6" t="s">
        <v>32</v>
      </c>
      <c r="D191" s="6">
        <v>16</v>
      </c>
      <c r="E191" s="49">
        <v>2000</v>
      </c>
      <c r="F191" s="6">
        <v>11710</v>
      </c>
      <c r="G191" s="8" t="s">
        <v>33</v>
      </c>
      <c r="H191" s="5">
        <v>1</v>
      </c>
      <c r="I191" s="9">
        <f t="shared" si="30"/>
        <v>2941.552</v>
      </c>
      <c r="J191" s="13" t="s">
        <v>11</v>
      </c>
      <c r="K191" s="48" t="s">
        <v>89</v>
      </c>
      <c r="L191" s="48"/>
      <c r="M191" s="49" t="s">
        <v>345</v>
      </c>
      <c r="N191" s="48"/>
      <c r="O191" s="48"/>
      <c r="P191" s="48"/>
      <c r="Q191" s="48"/>
      <c r="R191" s="48"/>
      <c r="S191" s="48"/>
      <c r="T191" s="48"/>
      <c r="U191" s="59">
        <f t="shared" si="31"/>
        <v>0</v>
      </c>
      <c r="V191" s="48">
        <f t="shared" si="35"/>
        <v>1</v>
      </c>
      <c r="W191" s="49" t="s">
        <v>345</v>
      </c>
      <c r="X191" s="58">
        <f t="shared" si="32"/>
        <v>11710</v>
      </c>
      <c r="Z191">
        <f t="shared" si="34"/>
        <v>2941.552</v>
      </c>
      <c r="AA191">
        <f t="shared" si="33"/>
        <v>0</v>
      </c>
    </row>
    <row r="192" ht="16.5" hidden="1" spans="1:27">
      <c r="A192" s="5">
        <v>31</v>
      </c>
      <c r="B192" s="5" t="s">
        <v>31</v>
      </c>
      <c r="C192" s="6" t="s">
        <v>32</v>
      </c>
      <c r="D192" s="6">
        <v>16</v>
      </c>
      <c r="E192" s="7">
        <v>2000</v>
      </c>
      <c r="F192" s="61">
        <v>11800</v>
      </c>
      <c r="G192" s="8" t="s">
        <v>33</v>
      </c>
      <c r="H192" s="10">
        <v>1</v>
      </c>
      <c r="I192" s="9">
        <f t="shared" si="30"/>
        <v>2964.16</v>
      </c>
      <c r="J192" s="13" t="s">
        <v>36</v>
      </c>
      <c r="K192" s="48" t="s">
        <v>72</v>
      </c>
      <c r="L192" s="48" t="s">
        <v>328</v>
      </c>
      <c r="M192" s="49" t="s">
        <v>338</v>
      </c>
      <c r="N192" s="62" t="s">
        <v>333</v>
      </c>
      <c r="O192" s="54" t="s">
        <v>386</v>
      </c>
      <c r="P192" s="48">
        <v>1</v>
      </c>
      <c r="Q192" s="48"/>
      <c r="R192" s="48"/>
      <c r="S192" s="48"/>
      <c r="T192" s="48"/>
      <c r="U192" s="59">
        <f t="shared" si="31"/>
        <v>2964.16</v>
      </c>
      <c r="V192" s="48">
        <f t="shared" si="35"/>
        <v>0</v>
      </c>
      <c r="W192" s="49" t="s">
        <v>345</v>
      </c>
      <c r="X192" s="58">
        <f t="shared" si="32"/>
        <v>0</v>
      </c>
      <c r="Z192">
        <f t="shared" si="34"/>
        <v>0</v>
      </c>
      <c r="AA192">
        <f t="shared" si="33"/>
        <v>0</v>
      </c>
    </row>
    <row r="193" ht="16.5" hidden="1" spans="1:27">
      <c r="A193" s="5">
        <v>55</v>
      </c>
      <c r="B193" s="5" t="s">
        <v>31</v>
      </c>
      <c r="C193" s="6" t="s">
        <v>32</v>
      </c>
      <c r="D193" s="6">
        <v>16</v>
      </c>
      <c r="E193" s="49">
        <v>2000</v>
      </c>
      <c r="F193" s="6">
        <v>11900</v>
      </c>
      <c r="G193" s="8" t="s">
        <v>33</v>
      </c>
      <c r="H193" s="5">
        <v>1</v>
      </c>
      <c r="I193" s="9">
        <f t="shared" si="30"/>
        <v>2989.28</v>
      </c>
      <c r="J193" s="13" t="s">
        <v>11</v>
      </c>
      <c r="K193" s="48" t="s">
        <v>72</v>
      </c>
      <c r="L193" s="48"/>
      <c r="M193" s="7">
        <v>1</v>
      </c>
      <c r="N193" s="48" t="s">
        <v>307</v>
      </c>
      <c r="O193" s="54" t="s">
        <v>387</v>
      </c>
      <c r="P193" s="33">
        <v>1</v>
      </c>
      <c r="Q193" s="48"/>
      <c r="R193" s="48"/>
      <c r="S193" s="48"/>
      <c r="T193" s="48"/>
      <c r="U193" s="59">
        <f t="shared" si="31"/>
        <v>2989.28</v>
      </c>
      <c r="V193" s="48">
        <f t="shared" si="35"/>
        <v>0</v>
      </c>
      <c r="W193" s="49" t="s">
        <v>345</v>
      </c>
      <c r="X193" s="58">
        <f t="shared" si="32"/>
        <v>0</v>
      </c>
      <c r="Z193">
        <f t="shared" si="34"/>
        <v>0</v>
      </c>
      <c r="AA193">
        <f t="shared" si="33"/>
        <v>0</v>
      </c>
    </row>
    <row r="194" ht="16.5" hidden="1" spans="1:27">
      <c r="A194" s="5">
        <v>37</v>
      </c>
      <c r="B194" s="5" t="s">
        <v>31</v>
      </c>
      <c r="C194" s="6" t="s">
        <v>32</v>
      </c>
      <c r="D194" s="6">
        <v>16</v>
      </c>
      <c r="E194" s="20">
        <v>2000</v>
      </c>
      <c r="F194" s="6">
        <v>12080</v>
      </c>
      <c r="G194" s="8" t="s">
        <v>33</v>
      </c>
      <c r="H194" s="5">
        <v>1</v>
      </c>
      <c r="I194" s="9">
        <f t="shared" si="30"/>
        <v>3034.496</v>
      </c>
      <c r="J194" s="13" t="s">
        <v>36</v>
      </c>
      <c r="K194" s="48" t="s">
        <v>84</v>
      </c>
      <c r="L194" s="48"/>
      <c r="M194" s="49" t="s">
        <v>345</v>
      </c>
      <c r="N194" s="48"/>
      <c r="O194" s="48"/>
      <c r="P194" s="48"/>
      <c r="Q194" s="48"/>
      <c r="R194" s="48"/>
      <c r="S194" s="48"/>
      <c r="T194" s="48"/>
      <c r="U194" s="59">
        <f t="shared" si="31"/>
        <v>0</v>
      </c>
      <c r="V194" s="48">
        <f t="shared" si="35"/>
        <v>1</v>
      </c>
      <c r="W194" s="49" t="s">
        <v>345</v>
      </c>
      <c r="X194" s="58">
        <f t="shared" si="32"/>
        <v>12080</v>
      </c>
      <c r="Z194">
        <f t="shared" si="34"/>
        <v>3034.496</v>
      </c>
      <c r="AA194">
        <f t="shared" si="33"/>
        <v>0</v>
      </c>
    </row>
    <row r="195" ht="16.5" hidden="1" spans="1:27">
      <c r="A195" s="5">
        <v>41</v>
      </c>
      <c r="B195" s="5" t="s">
        <v>31</v>
      </c>
      <c r="C195" s="6" t="s">
        <v>32</v>
      </c>
      <c r="D195" s="6">
        <v>16</v>
      </c>
      <c r="E195" s="20">
        <v>2000</v>
      </c>
      <c r="F195" s="6">
        <v>12140</v>
      </c>
      <c r="G195" s="8" t="s">
        <v>33</v>
      </c>
      <c r="H195" s="5">
        <v>1</v>
      </c>
      <c r="I195" s="9">
        <f t="shared" si="30"/>
        <v>3049.568</v>
      </c>
      <c r="J195" s="13" t="s">
        <v>36</v>
      </c>
      <c r="K195" s="48" t="s">
        <v>84</v>
      </c>
      <c r="L195" s="48"/>
      <c r="M195" s="49" t="s">
        <v>345</v>
      </c>
      <c r="N195" s="48"/>
      <c r="O195" s="48"/>
      <c r="P195" s="48"/>
      <c r="Q195" s="48"/>
      <c r="R195" s="48"/>
      <c r="S195" s="48"/>
      <c r="T195" s="48"/>
      <c r="U195" s="59">
        <f t="shared" si="31"/>
        <v>0</v>
      </c>
      <c r="V195" s="48">
        <f t="shared" si="35"/>
        <v>1</v>
      </c>
      <c r="W195" s="49" t="s">
        <v>345</v>
      </c>
      <c r="X195" s="58">
        <f t="shared" si="32"/>
        <v>12140</v>
      </c>
      <c r="Z195">
        <f t="shared" si="34"/>
        <v>3049.568</v>
      </c>
      <c r="AA195">
        <f t="shared" si="33"/>
        <v>0</v>
      </c>
    </row>
    <row r="196" ht="16.5" hidden="1" spans="1:27">
      <c r="A196" s="5">
        <v>43</v>
      </c>
      <c r="B196" s="5" t="s">
        <v>31</v>
      </c>
      <c r="C196" s="6" t="s">
        <v>32</v>
      </c>
      <c r="D196" s="6">
        <v>16</v>
      </c>
      <c r="E196" s="49">
        <v>2000</v>
      </c>
      <c r="F196" s="6">
        <v>12300</v>
      </c>
      <c r="G196" s="8" t="s">
        <v>33</v>
      </c>
      <c r="H196" s="5">
        <v>1</v>
      </c>
      <c r="I196" s="9">
        <f t="shared" si="30"/>
        <v>3089.76</v>
      </c>
      <c r="J196" s="13" t="s">
        <v>36</v>
      </c>
      <c r="K196" s="48" t="s">
        <v>72</v>
      </c>
      <c r="L196" s="48"/>
      <c r="M196" s="7">
        <v>11</v>
      </c>
      <c r="N196" s="48" t="s">
        <v>310</v>
      </c>
      <c r="O196" s="54" t="s">
        <v>388</v>
      </c>
      <c r="P196" s="33">
        <v>1</v>
      </c>
      <c r="Q196" s="48"/>
      <c r="R196" s="48"/>
      <c r="S196" s="48"/>
      <c r="T196" s="48"/>
      <c r="U196" s="59">
        <f t="shared" si="31"/>
        <v>3089.76</v>
      </c>
      <c r="V196" s="48">
        <f t="shared" si="35"/>
        <v>0</v>
      </c>
      <c r="W196" s="49" t="s">
        <v>345</v>
      </c>
      <c r="X196" s="58">
        <f t="shared" si="32"/>
        <v>0</v>
      </c>
      <c r="Z196">
        <f t="shared" si="34"/>
        <v>0</v>
      </c>
      <c r="AA196">
        <f t="shared" si="33"/>
        <v>0</v>
      </c>
    </row>
    <row r="197" ht="16.5" hidden="1" spans="1:27">
      <c r="A197" s="5">
        <v>32</v>
      </c>
      <c r="B197" s="5" t="s">
        <v>31</v>
      </c>
      <c r="C197" s="6" t="s">
        <v>32</v>
      </c>
      <c r="D197" s="6">
        <v>16</v>
      </c>
      <c r="E197" s="49">
        <v>2000</v>
      </c>
      <c r="F197" s="6">
        <v>12440</v>
      </c>
      <c r="G197" s="8" t="s">
        <v>33</v>
      </c>
      <c r="H197" s="5">
        <v>1</v>
      </c>
      <c r="I197" s="9">
        <f t="shared" si="30"/>
        <v>3124.928</v>
      </c>
      <c r="J197" s="13" t="s">
        <v>34</v>
      </c>
      <c r="K197" s="48" t="s">
        <v>72</v>
      </c>
      <c r="L197" s="48"/>
      <c r="M197" s="7">
        <v>11</v>
      </c>
      <c r="N197" s="48" t="s">
        <v>310</v>
      </c>
      <c r="O197" s="54" t="s">
        <v>389</v>
      </c>
      <c r="P197" s="33">
        <v>1</v>
      </c>
      <c r="Q197" s="48"/>
      <c r="R197" s="48"/>
      <c r="S197" s="48"/>
      <c r="T197" s="48"/>
      <c r="U197" s="59">
        <f t="shared" si="31"/>
        <v>3124.928</v>
      </c>
      <c r="V197" s="48">
        <f t="shared" si="35"/>
        <v>0</v>
      </c>
      <c r="W197" s="49" t="s">
        <v>345</v>
      </c>
      <c r="X197" s="58">
        <f t="shared" si="32"/>
        <v>0</v>
      </c>
      <c r="Z197">
        <f t="shared" si="34"/>
        <v>0</v>
      </c>
      <c r="AA197">
        <f t="shared" si="33"/>
        <v>0</v>
      </c>
    </row>
    <row r="198" ht="16.5" hidden="1" spans="1:27">
      <c r="A198" s="5">
        <v>36</v>
      </c>
      <c r="B198" s="5" t="s">
        <v>31</v>
      </c>
      <c r="C198" s="6" t="s">
        <v>32</v>
      </c>
      <c r="D198" s="6">
        <v>16</v>
      </c>
      <c r="E198" s="49">
        <v>2000</v>
      </c>
      <c r="F198" s="6">
        <v>12570</v>
      </c>
      <c r="G198" s="8" t="s">
        <v>33</v>
      </c>
      <c r="H198" s="5">
        <v>1</v>
      </c>
      <c r="I198" s="9">
        <f t="shared" si="30"/>
        <v>3157.584</v>
      </c>
      <c r="J198" s="13" t="s">
        <v>36</v>
      </c>
      <c r="K198" s="48" t="s">
        <v>72</v>
      </c>
      <c r="L198" s="48"/>
      <c r="M198" s="7">
        <v>12</v>
      </c>
      <c r="N198" s="48" t="s">
        <v>310</v>
      </c>
      <c r="O198" s="54" t="s">
        <v>390</v>
      </c>
      <c r="P198" s="33">
        <v>1</v>
      </c>
      <c r="Q198" s="48"/>
      <c r="R198" s="48"/>
      <c r="S198" s="48"/>
      <c r="T198" s="48"/>
      <c r="U198" s="59">
        <f t="shared" si="31"/>
        <v>3157.584</v>
      </c>
      <c r="V198" s="48">
        <f t="shared" si="35"/>
        <v>0</v>
      </c>
      <c r="W198" s="49" t="s">
        <v>345</v>
      </c>
      <c r="X198" s="58">
        <f t="shared" si="32"/>
        <v>0</v>
      </c>
      <c r="Z198">
        <f t="shared" si="34"/>
        <v>0</v>
      </c>
      <c r="AA198">
        <f t="shared" si="33"/>
        <v>0</v>
      </c>
    </row>
    <row r="199" ht="16.5" hidden="1" spans="1:27">
      <c r="A199" s="5">
        <v>45</v>
      </c>
      <c r="B199" s="5" t="s">
        <v>31</v>
      </c>
      <c r="C199" s="6" t="s">
        <v>32</v>
      </c>
      <c r="D199" s="6">
        <v>16</v>
      </c>
      <c r="E199" s="20">
        <v>2000</v>
      </c>
      <c r="F199" s="6">
        <v>12630</v>
      </c>
      <c r="G199" s="8" t="s">
        <v>33</v>
      </c>
      <c r="H199" s="5">
        <v>1</v>
      </c>
      <c r="I199" s="9">
        <f t="shared" si="30"/>
        <v>3172.656</v>
      </c>
      <c r="J199" s="13" t="s">
        <v>35</v>
      </c>
      <c r="K199" s="48" t="s">
        <v>84</v>
      </c>
      <c r="L199" s="48"/>
      <c r="M199" s="49" t="s">
        <v>345</v>
      </c>
      <c r="N199" s="48"/>
      <c r="O199" s="48"/>
      <c r="P199" s="48"/>
      <c r="Q199" s="48"/>
      <c r="R199" s="48"/>
      <c r="S199" s="48"/>
      <c r="T199" s="48"/>
      <c r="U199" s="59">
        <f t="shared" si="31"/>
        <v>0</v>
      </c>
      <c r="V199" s="48">
        <f t="shared" si="35"/>
        <v>1</v>
      </c>
      <c r="W199" s="49" t="s">
        <v>345</v>
      </c>
      <c r="X199" s="58">
        <f t="shared" si="32"/>
        <v>12630</v>
      </c>
      <c r="Z199">
        <f t="shared" si="34"/>
        <v>3172.656</v>
      </c>
      <c r="AA199">
        <f t="shared" si="33"/>
        <v>0</v>
      </c>
    </row>
    <row r="200" ht="16.5" hidden="1" spans="1:27">
      <c r="A200" s="5">
        <v>39</v>
      </c>
      <c r="B200" s="5" t="s">
        <v>31</v>
      </c>
      <c r="C200" s="6" t="s">
        <v>32</v>
      </c>
      <c r="D200" s="6">
        <v>16</v>
      </c>
      <c r="E200" s="20">
        <v>2000</v>
      </c>
      <c r="F200" s="6">
        <v>12760</v>
      </c>
      <c r="G200" s="8" t="s">
        <v>33</v>
      </c>
      <c r="H200" s="5">
        <v>1</v>
      </c>
      <c r="I200" s="9">
        <f t="shared" si="30"/>
        <v>3205.312</v>
      </c>
      <c r="J200" s="13" t="s">
        <v>36</v>
      </c>
      <c r="K200" s="48" t="s">
        <v>84</v>
      </c>
      <c r="L200" s="48"/>
      <c r="M200" s="49" t="s">
        <v>345</v>
      </c>
      <c r="N200" s="48"/>
      <c r="O200" s="48"/>
      <c r="P200" s="48"/>
      <c r="Q200" s="48"/>
      <c r="R200" s="48"/>
      <c r="S200" s="48"/>
      <c r="T200" s="48"/>
      <c r="U200" s="59">
        <f t="shared" si="31"/>
        <v>0</v>
      </c>
      <c r="V200" s="48">
        <f t="shared" si="35"/>
        <v>1</v>
      </c>
      <c r="W200" s="49" t="s">
        <v>345</v>
      </c>
      <c r="X200" s="58">
        <f t="shared" si="32"/>
        <v>12760</v>
      </c>
      <c r="Y200">
        <f>SUM(X119:X200)</f>
        <v>595830</v>
      </c>
      <c r="Z200">
        <f t="shared" si="34"/>
        <v>3205.312</v>
      </c>
      <c r="AA200">
        <f t="shared" si="33"/>
        <v>0</v>
      </c>
    </row>
    <row r="201" hidden="1" spans="8:26">
      <c r="H201">
        <v>602685.129088002</v>
      </c>
      <c r="I201">
        <f>SUM(I2:I200)</f>
        <v>602685.129088002</v>
      </c>
      <c r="J201">
        <f>U201+Z201</f>
        <v>602685.129088001</v>
      </c>
      <c r="U201">
        <f>SUM(U2:U200)</f>
        <v>195042.104800001</v>
      </c>
      <c r="X201" s="58">
        <f>SUM(X2:X200)</f>
        <v>1722793.6</v>
      </c>
      <c r="Y201">
        <f>SUM(Y2:Y200)</f>
        <v>1722793.6</v>
      </c>
      <c r="Z201">
        <f>SUM(Z2:Z200)</f>
        <v>407643.024288</v>
      </c>
    </row>
    <row r="202" hidden="1" spans="10:10">
      <c r="J202">
        <f>'估料单D1-1 (修正)'!L60+'估料单D1-2 (修正)'!L58++'估料单D1-3 (修正)'!L64+'估料单D1-4 (修正)'!L49</f>
        <v>602685.129088001</v>
      </c>
    </row>
  </sheetData>
  <autoFilter ref="A1:AD202">
    <filterColumn colId="13">
      <customFilters>
        <customFilter operator="equal" val="D10"/>
      </customFilters>
    </filterColumn>
    <extLst/>
  </autoFilter>
  <pageMargins left="0.75" right="0.75" top="1" bottom="1" header="0.5" footer="0.5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5"/>
  <dimension ref="A1:P38"/>
  <sheetViews>
    <sheetView tabSelected="1" workbookViewId="0">
      <selection activeCell="I19" sqref="I19"/>
    </sheetView>
  </sheetViews>
  <sheetFormatPr defaultColWidth="9" defaultRowHeight="13.5"/>
  <cols>
    <col min="1" max="1" width="5.75" customWidth="1"/>
    <col min="2" max="2" width="7.25" customWidth="1"/>
    <col min="3" max="3" width="9.5" customWidth="1"/>
    <col min="4" max="4" width="8.25" customWidth="1"/>
    <col min="5" max="5" width="10" customWidth="1"/>
    <col min="6" max="6" width="9.875" customWidth="1"/>
    <col min="7" max="7" width="7.125" customWidth="1"/>
    <col min="8" max="8" width="5.375" customWidth="1"/>
    <col min="9" max="9" width="10.875" customWidth="1"/>
    <col min="10" max="10" width="13.75" customWidth="1"/>
    <col min="11" max="11" width="11.8416666666667" hidden="1" customWidth="1"/>
    <col min="12" max="12" width="7.00833333333333" hidden="1" customWidth="1"/>
    <col min="13" max="13" width="9.00833333333333" hidden="1" customWidth="1"/>
    <col min="14" max="16" width="15.3416666666667" hidden="1" customWidth="1"/>
    <col min="17" max="17" width="12.625" hidden="1" customWidth="1"/>
    <col min="18" max="19" width="9" customWidth="1"/>
  </cols>
  <sheetData>
    <row r="1" ht="28.5" customHeight="1" spans="1:16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  <c r="K1" s="24"/>
      <c r="L1" s="24"/>
      <c r="M1" s="24"/>
      <c r="N1" s="24"/>
      <c r="O1" s="24"/>
      <c r="P1" s="24"/>
    </row>
    <row r="2" ht="28.5" customHeight="1" spans="1:16">
      <c r="A2" s="15" t="s">
        <v>20</v>
      </c>
      <c r="B2" s="15"/>
      <c r="C2" s="15"/>
      <c r="D2" s="15"/>
      <c r="E2" s="15"/>
      <c r="F2" s="15"/>
      <c r="G2" s="15"/>
      <c r="H2" s="15"/>
      <c r="I2" s="15"/>
      <c r="J2" s="15"/>
      <c r="K2" s="24"/>
      <c r="L2" s="24"/>
      <c r="M2" s="24"/>
      <c r="N2" s="24"/>
      <c r="O2" s="24"/>
      <c r="P2" s="24"/>
    </row>
    <row r="3" ht="22.5" customHeight="1" spans="1:16">
      <c r="A3" s="16" t="s">
        <v>21</v>
      </c>
      <c r="B3" s="17"/>
      <c r="C3" s="17"/>
      <c r="D3" s="17"/>
      <c r="E3" s="17"/>
      <c r="F3" s="17"/>
      <c r="G3" s="17"/>
      <c r="H3" s="17"/>
      <c r="I3" s="44"/>
      <c r="J3" s="26"/>
      <c r="K3" s="27"/>
      <c r="L3" s="27"/>
      <c r="M3" s="27"/>
      <c r="N3" s="27"/>
      <c r="O3" s="27"/>
      <c r="P3" s="27"/>
    </row>
    <row r="4" ht="22.5" customHeight="1" spans="1:16">
      <c r="A4" s="18" t="s">
        <v>391</v>
      </c>
      <c r="B4" s="19"/>
      <c r="C4" s="19"/>
      <c r="D4" s="17"/>
      <c r="E4" s="19"/>
      <c r="F4" s="19"/>
      <c r="G4" s="17"/>
      <c r="H4" s="17"/>
      <c r="I4" s="45"/>
      <c r="J4" s="26"/>
      <c r="K4" s="27"/>
      <c r="L4" s="27"/>
      <c r="M4" s="27"/>
      <c r="N4" s="27"/>
      <c r="O4" s="27"/>
      <c r="P4" s="27"/>
    </row>
    <row r="5" ht="22.5" customHeight="1" spans="1:16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4" t="s">
        <v>29</v>
      </c>
      <c r="J5" s="11" t="s">
        <v>30</v>
      </c>
      <c r="K5" s="30"/>
      <c r="L5" s="30"/>
      <c r="M5" s="30"/>
      <c r="N5" s="30"/>
      <c r="O5" s="30"/>
      <c r="P5" s="30"/>
    </row>
    <row r="6" ht="22.5" customHeight="1" spans="1:16">
      <c r="A6" s="5">
        <v>1</v>
      </c>
      <c r="B6" s="5" t="s">
        <v>31</v>
      </c>
      <c r="C6" s="6" t="s">
        <v>32</v>
      </c>
      <c r="D6" s="35">
        <v>12</v>
      </c>
      <c r="E6" s="35">
        <v>2000</v>
      </c>
      <c r="F6" s="35">
        <v>11950</v>
      </c>
      <c r="G6" s="6" t="s">
        <v>33</v>
      </c>
      <c r="H6" s="35">
        <v>1</v>
      </c>
      <c r="I6" s="36">
        <f>H6*F6*E6*D6*7.85/1000000</f>
        <v>2251.38</v>
      </c>
      <c r="J6" s="35" t="s">
        <v>392</v>
      </c>
      <c r="K6" s="8" t="s">
        <v>393</v>
      </c>
      <c r="L6" s="8">
        <v>1</v>
      </c>
      <c r="M6" s="32"/>
      <c r="N6" s="32"/>
      <c r="O6" s="32"/>
      <c r="P6" s="32"/>
    </row>
    <row r="7" ht="22.5" customHeight="1" spans="1:16">
      <c r="A7" s="5">
        <v>2</v>
      </c>
      <c r="B7" s="5" t="s">
        <v>31</v>
      </c>
      <c r="C7" s="6" t="s">
        <v>32</v>
      </c>
      <c r="D7" s="35">
        <v>16</v>
      </c>
      <c r="E7" s="35">
        <v>2000</v>
      </c>
      <c r="F7" s="35">
        <v>6410</v>
      </c>
      <c r="G7" s="6" t="s">
        <v>33</v>
      </c>
      <c r="H7" s="35">
        <v>1</v>
      </c>
      <c r="I7" s="36">
        <f>H7*F7*E7*D7*7.85/1000000</f>
        <v>1610.192</v>
      </c>
      <c r="J7" s="35" t="s">
        <v>392</v>
      </c>
      <c r="K7" s="8" t="s">
        <v>394</v>
      </c>
      <c r="L7" s="8">
        <v>1</v>
      </c>
      <c r="M7" s="32"/>
      <c r="N7" s="32"/>
      <c r="O7" s="32"/>
      <c r="P7" s="32"/>
    </row>
    <row r="8" ht="22.5" customHeight="1" spans="1:16">
      <c r="A8" s="5">
        <v>3</v>
      </c>
      <c r="B8" s="5" t="s">
        <v>31</v>
      </c>
      <c r="C8" s="6" t="s">
        <v>32</v>
      </c>
      <c r="D8" s="6">
        <v>16</v>
      </c>
      <c r="E8" s="6">
        <f>1805-5</f>
        <v>1800</v>
      </c>
      <c r="F8" s="6">
        <v>7560</v>
      </c>
      <c r="G8" s="6" t="s">
        <v>33</v>
      </c>
      <c r="H8" s="6">
        <v>1</v>
      </c>
      <c r="I8" s="50">
        <f t="shared" ref="I8:I13" si="0">E8*H8*F8*D8*7.85/1000000</f>
        <v>1709.1648</v>
      </c>
      <c r="J8" s="6" t="s">
        <v>38</v>
      </c>
      <c r="K8" s="8" t="s">
        <v>395</v>
      </c>
      <c r="L8" s="8">
        <v>1</v>
      </c>
      <c r="M8" s="32"/>
      <c r="N8" s="32"/>
      <c r="O8" s="32"/>
      <c r="P8" s="32"/>
    </row>
    <row r="9" ht="22.5" customHeight="1" spans="1:16">
      <c r="A9" s="5">
        <v>4</v>
      </c>
      <c r="B9" s="5" t="s">
        <v>31</v>
      </c>
      <c r="C9" s="6" t="s">
        <v>32</v>
      </c>
      <c r="D9" s="6">
        <v>16</v>
      </c>
      <c r="E9" s="6">
        <v>1800</v>
      </c>
      <c r="F9" s="6">
        <v>8450</v>
      </c>
      <c r="G9" s="6" t="s">
        <v>33</v>
      </c>
      <c r="H9" s="6">
        <v>3</v>
      </c>
      <c r="I9" s="50">
        <f t="shared" si="0"/>
        <v>5731.128</v>
      </c>
      <c r="J9" s="6" t="s">
        <v>38</v>
      </c>
      <c r="K9" s="8" t="s">
        <v>396</v>
      </c>
      <c r="L9" s="8">
        <v>3</v>
      </c>
      <c r="M9" s="32"/>
      <c r="N9" s="32"/>
      <c r="O9" s="32"/>
      <c r="P9" s="32"/>
    </row>
    <row r="10" ht="22.5" customHeight="1" spans="1:16">
      <c r="A10" s="5">
        <v>5</v>
      </c>
      <c r="B10" s="5" t="s">
        <v>31</v>
      </c>
      <c r="C10" s="6" t="s">
        <v>32</v>
      </c>
      <c r="D10" s="6">
        <v>16</v>
      </c>
      <c r="E10" s="6">
        <f>1805-5</f>
        <v>1800</v>
      </c>
      <c r="F10" s="6">
        <v>10060</v>
      </c>
      <c r="G10" s="6" t="s">
        <v>33</v>
      </c>
      <c r="H10" s="6">
        <v>11</v>
      </c>
      <c r="I10" s="50">
        <f t="shared" si="0"/>
        <v>25018.0128</v>
      </c>
      <c r="J10" s="6" t="s">
        <v>38</v>
      </c>
      <c r="K10" s="8" t="s">
        <v>397</v>
      </c>
      <c r="L10" s="8">
        <v>11</v>
      </c>
      <c r="M10" s="32"/>
      <c r="N10" s="32"/>
      <c r="O10" s="32"/>
      <c r="P10" s="32"/>
    </row>
    <row r="11" ht="22.5" customHeight="1" spans="1:16">
      <c r="A11" s="5">
        <v>6</v>
      </c>
      <c r="B11" s="5" t="s">
        <v>31</v>
      </c>
      <c r="C11" s="6" t="s">
        <v>32</v>
      </c>
      <c r="D11" s="6">
        <v>16</v>
      </c>
      <c r="E11" s="6">
        <v>1800</v>
      </c>
      <c r="F11" s="6">
        <v>10860</v>
      </c>
      <c r="G11" s="6" t="s">
        <v>33</v>
      </c>
      <c r="H11" s="6">
        <v>1</v>
      </c>
      <c r="I11" s="50">
        <f t="shared" si="0"/>
        <v>2455.2288</v>
      </c>
      <c r="J11" s="6" t="s">
        <v>38</v>
      </c>
      <c r="K11" s="8" t="s">
        <v>398</v>
      </c>
      <c r="L11" s="8">
        <v>1</v>
      </c>
      <c r="M11" s="32"/>
      <c r="N11" s="32"/>
      <c r="O11" s="32"/>
      <c r="P11" s="32"/>
    </row>
    <row r="12" ht="22.5" customHeight="1" spans="1:16">
      <c r="A12" s="5">
        <v>7</v>
      </c>
      <c r="B12" s="5" t="s">
        <v>31</v>
      </c>
      <c r="C12" s="6" t="s">
        <v>32</v>
      </c>
      <c r="D12" s="6">
        <v>16</v>
      </c>
      <c r="E12" s="6">
        <v>2000</v>
      </c>
      <c r="F12" s="6">
        <v>9040</v>
      </c>
      <c r="G12" s="6" t="s">
        <v>33</v>
      </c>
      <c r="H12" s="6">
        <v>1</v>
      </c>
      <c r="I12" s="50">
        <f t="shared" si="0"/>
        <v>2270.848</v>
      </c>
      <c r="J12" s="6" t="s">
        <v>38</v>
      </c>
      <c r="K12" s="8" t="s">
        <v>399</v>
      </c>
      <c r="L12" s="8">
        <v>1</v>
      </c>
      <c r="M12" s="32"/>
      <c r="N12" s="32"/>
      <c r="O12" s="32"/>
      <c r="P12" s="32"/>
    </row>
    <row r="13" ht="22.5" customHeight="1" spans="1:16">
      <c r="A13" s="5">
        <v>8</v>
      </c>
      <c r="B13" s="5" t="s">
        <v>31</v>
      </c>
      <c r="C13" s="6" t="s">
        <v>32</v>
      </c>
      <c r="D13" s="6">
        <v>16</v>
      </c>
      <c r="E13" s="6">
        <v>2000</v>
      </c>
      <c r="F13" s="6">
        <v>10830</v>
      </c>
      <c r="G13" s="6" t="s">
        <v>33</v>
      </c>
      <c r="H13" s="6">
        <v>7</v>
      </c>
      <c r="I13" s="50">
        <f t="shared" si="0"/>
        <v>19043.472</v>
      </c>
      <c r="J13" s="6" t="s">
        <v>38</v>
      </c>
      <c r="K13" s="8" t="s">
        <v>400</v>
      </c>
      <c r="L13" s="8">
        <v>7</v>
      </c>
      <c r="M13" s="32"/>
      <c r="N13" s="32"/>
      <c r="O13" s="32"/>
      <c r="P13" s="32"/>
    </row>
    <row r="14" ht="22.5" customHeight="1" spans="1:16">
      <c r="A14" s="5" t="s">
        <v>40</v>
      </c>
      <c r="B14" s="5"/>
      <c r="C14" s="5"/>
      <c r="D14" s="5"/>
      <c r="E14" s="5"/>
      <c r="F14" s="5"/>
      <c r="G14" s="5"/>
      <c r="H14" s="5"/>
      <c r="I14" s="51">
        <f>SUM(I6:I13)</f>
        <v>60089.4264</v>
      </c>
      <c r="J14" s="13"/>
      <c r="K14" s="52">
        <f>[5]钢板清单!$W$8</f>
        <v>56227.8544</v>
      </c>
      <c r="L14" s="32"/>
      <c r="M14" s="32" t="s">
        <v>78</v>
      </c>
      <c r="N14" s="32">
        <f>D2估料单!I39</f>
        <v>78760.0862</v>
      </c>
      <c r="O14" s="32">
        <v>78693.99548</v>
      </c>
      <c r="P14" s="32"/>
    </row>
    <row r="15" ht="22.5" customHeight="1" spans="1:16">
      <c r="A15" s="22" t="s">
        <v>41</v>
      </c>
      <c r="B15" s="22"/>
      <c r="C15" s="22"/>
      <c r="D15" s="22"/>
      <c r="E15" s="22"/>
      <c r="F15" s="22"/>
      <c r="G15" s="22"/>
      <c r="H15" s="22"/>
      <c r="I15" s="22"/>
      <c r="J15" s="22"/>
      <c r="K15" s="32"/>
      <c r="L15" s="32"/>
      <c r="M15" s="32" t="s">
        <v>84</v>
      </c>
      <c r="N15" s="32">
        <f>D3估料单!I38</f>
        <v>87375.995</v>
      </c>
      <c r="O15" s="32">
        <v>87309.90428</v>
      </c>
      <c r="P15" s="32"/>
    </row>
    <row r="16" ht="22.5" customHeight="1" spans="1:16">
      <c r="A16" s="22" t="s">
        <v>401</v>
      </c>
      <c r="B16" s="22"/>
      <c r="C16" s="22"/>
      <c r="D16" s="22"/>
      <c r="E16" s="22"/>
      <c r="F16" s="22"/>
      <c r="G16" s="22"/>
      <c r="H16" s="22"/>
      <c r="I16" s="22"/>
      <c r="J16" s="22"/>
      <c r="K16" s="32"/>
      <c r="L16" s="32"/>
      <c r="M16" s="32" t="s">
        <v>89</v>
      </c>
      <c r="N16" s="32">
        <f>D4估料单!I45</f>
        <v>113126.5698</v>
      </c>
      <c r="O16" s="32"/>
      <c r="P16" s="32"/>
    </row>
    <row r="17" ht="25" customHeight="1" spans="1:16">
      <c r="A17" s="16" t="s">
        <v>74</v>
      </c>
      <c r="B17" s="17"/>
      <c r="C17" s="17"/>
      <c r="D17" s="17"/>
      <c r="E17" s="17"/>
      <c r="F17" s="17"/>
      <c r="G17" s="17"/>
      <c r="H17" s="17"/>
      <c r="I17" s="17"/>
      <c r="J17" s="17"/>
      <c r="K17" s="32"/>
      <c r="L17" s="32"/>
      <c r="M17" s="32" t="s">
        <v>339</v>
      </c>
      <c r="N17" s="32">
        <f>D7估料单!I48</f>
        <v>104987.941</v>
      </c>
      <c r="O17" s="32"/>
      <c r="P17" s="32"/>
    </row>
    <row r="18" ht="22.5" customHeight="1" spans="1:16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</row>
    <row r="19" ht="22.5" customHeight="1" spans="1:16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 t="s">
        <v>330</v>
      </c>
      <c r="N19" s="32">
        <f>'D8估料单 '!I36</f>
        <v>107272.1968</v>
      </c>
      <c r="O19" s="32"/>
      <c r="P19" s="32"/>
    </row>
    <row r="20" ht="22.5" customHeight="1" spans="1:16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 t="s">
        <v>333</v>
      </c>
      <c r="N20" s="32">
        <f>D9估料单!I54</f>
        <v>106617.3498</v>
      </c>
      <c r="O20" s="32"/>
      <c r="P20" s="32"/>
    </row>
    <row r="21" ht="22.5" customHeight="1" spans="1:16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 t="s">
        <v>338</v>
      </c>
      <c r="N21" s="32">
        <f>D10估料单!I51</f>
        <v>104257.4514</v>
      </c>
      <c r="O21" s="32"/>
      <c r="P21" s="32"/>
    </row>
    <row r="22" ht="22.5" customHeight="1" spans="1:16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 t="s">
        <v>402</v>
      </c>
      <c r="N22" s="32">
        <f>'D11估料单 '!I49</f>
        <v>113176.3074</v>
      </c>
      <c r="O22" s="32"/>
      <c r="P22" s="32"/>
    </row>
    <row r="23" ht="22.5" customHeight="1" spans="1:16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 t="s">
        <v>403</v>
      </c>
      <c r="N23" s="32">
        <f>'D12估料单 '!I53</f>
        <v>102632.5014</v>
      </c>
      <c r="O23" s="32"/>
      <c r="P23" s="32"/>
    </row>
    <row r="24" ht="22.5" customHeight="1" spans="1:16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 t="s">
        <v>404</v>
      </c>
      <c r="N24" s="32">
        <f>'D13估料单 '!I42</f>
        <v>79452.8644</v>
      </c>
      <c r="O24" s="32"/>
      <c r="P24" s="32"/>
    </row>
    <row r="25" ht="22.5" customHeight="1" spans="1:16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 t="s">
        <v>405</v>
      </c>
      <c r="N25" s="32">
        <f>'D14估料单 '!I44</f>
        <v>84123.7714</v>
      </c>
      <c r="O25" s="32"/>
      <c r="P25" s="32"/>
    </row>
    <row r="26" ht="22.5" customHeight="1" spans="1:16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 t="s">
        <v>406</v>
      </c>
      <c r="N26" s="32">
        <f>D15估料单!I34</f>
        <v>73665.7816</v>
      </c>
      <c r="O26" s="32"/>
      <c r="P26" s="32"/>
    </row>
    <row r="27" ht="22.5" customHeight="1" spans="1:16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 t="s">
        <v>407</v>
      </c>
      <c r="N27" s="32">
        <f>'D16估料单 '!I58</f>
        <v>118991.3048</v>
      </c>
      <c r="O27" s="32"/>
      <c r="P27" s="32"/>
    </row>
    <row r="28" ht="22.5" customHeight="1" spans="1:16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 t="s">
        <v>408</v>
      </c>
      <c r="N28" s="32">
        <f>D17估料单!I40</f>
        <v>84753.2786</v>
      </c>
      <c r="O28" s="32"/>
      <c r="P28" s="32"/>
    </row>
    <row r="29" ht="22.5" customHeight="1" spans="1:16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 t="s">
        <v>409</v>
      </c>
      <c r="N29" s="32">
        <f>'D18估料单 '!I43</f>
        <v>132199.024</v>
      </c>
      <c r="O29" s="32"/>
      <c r="P29" s="32"/>
    </row>
    <row r="30" ht="22.5" customHeight="1" spans="1:16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 t="s">
        <v>410</v>
      </c>
      <c r="N30" s="32">
        <f>A1估料单!I21</f>
        <v>32546.9792</v>
      </c>
      <c r="O30" s="32"/>
      <c r="P30" s="32"/>
    </row>
    <row r="31" ht="22.5" customHeight="1" spans="1:16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>
        <f>I14</f>
        <v>60089.4264</v>
      </c>
      <c r="O31" s="32"/>
      <c r="P31" s="32"/>
    </row>
    <row r="32" ht="22.5" customHeight="1" spans="1:16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 t="s">
        <v>62</v>
      </c>
      <c r="N32" s="32">
        <f>'估料单D1-1 (修正)'!I61</f>
        <v>161169.229200001</v>
      </c>
      <c r="O32" s="32"/>
      <c r="P32" s="32"/>
    </row>
    <row r="33" ht="22.5" customHeight="1" spans="1:16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 t="s">
        <v>63</v>
      </c>
      <c r="N33" s="32">
        <f>'估料单D1-2 (修正)'!I59</f>
        <v>189589.894208</v>
      </c>
      <c r="O33" s="32"/>
      <c r="P33" s="32"/>
    </row>
    <row r="34" ht="22.5" customHeight="1" spans="1:16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 t="s">
        <v>64</v>
      </c>
      <c r="N34" s="32">
        <f>'估料单D1-3 (修正)'!I65</f>
        <v>161574.77904</v>
      </c>
      <c r="O34" s="32"/>
      <c r="P34" s="32"/>
    </row>
    <row r="35" ht="22.5" customHeight="1" spans="1:16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 t="s">
        <v>65</v>
      </c>
      <c r="N35" s="32">
        <f>'估料单D1-4 (修正)'!I50</f>
        <v>121052.13704</v>
      </c>
      <c r="O35" s="32"/>
      <c r="P35" s="32"/>
    </row>
    <row r="36" ht="22.5" customHeight="1" spans="1:16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>
        <v>2214710.185728</v>
      </c>
      <c r="M36" s="32"/>
      <c r="N36" s="32">
        <f>SUM(N14:N35)</f>
        <v>2217414.868688</v>
      </c>
      <c r="O36" s="32">
        <f>[6]钢栈桥工程数量表!$Q$352</f>
        <v>2116208.1370672</v>
      </c>
      <c r="P36" s="32">
        <f>N36-O36</f>
        <v>101206.731620801</v>
      </c>
    </row>
    <row r="37" ht="22.5" customHeight="1" spans="1:16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>
        <v>2217414.868688</v>
      </c>
      <c r="O37" s="32"/>
      <c r="P37" s="32">
        <f>P36/O36</f>
        <v>0.047824564062522</v>
      </c>
    </row>
    <row r="38" spans="14:16">
      <c r="N38">
        <v>2213549.528688</v>
      </c>
      <c r="P38">
        <v>0.0342881980793063</v>
      </c>
    </row>
  </sheetData>
  <mergeCells count="7">
    <mergeCell ref="A1:J1"/>
    <mergeCell ref="A2:J2"/>
    <mergeCell ref="A3:F3"/>
    <mergeCell ref="A14:H14"/>
    <mergeCell ref="A15:J15"/>
    <mergeCell ref="A16:J16"/>
    <mergeCell ref="A17:J17"/>
  </mergeCells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7"/>
  <dimension ref="A1:P42"/>
  <sheetViews>
    <sheetView topLeftCell="B2" workbookViewId="0">
      <selection activeCell="A42" sqref="A2:J42"/>
    </sheetView>
  </sheetViews>
  <sheetFormatPr defaultColWidth="9" defaultRowHeight="13.5"/>
  <cols>
    <col min="1" max="1" width="6.625" customWidth="1"/>
    <col min="2" max="2" width="8.675" customWidth="1"/>
    <col min="3" max="3" width="9.5" customWidth="1"/>
    <col min="4" max="4" width="8.125" customWidth="1"/>
    <col min="5" max="6" width="9.125" customWidth="1"/>
    <col min="7" max="7" width="7.875" customWidth="1"/>
    <col min="8" max="8" width="6.5" customWidth="1"/>
    <col min="9" max="9" width="10.75" style="14" customWidth="1"/>
    <col min="10" max="10" width="10.0083333333333" customWidth="1"/>
    <col min="11" max="11" width="12.625" hidden="1" customWidth="1"/>
    <col min="12" max="12" width="9" hidden="1" customWidth="1"/>
    <col min="13" max="15" width="12.625" hidden="1" customWidth="1"/>
    <col min="16" max="20" width="9" hidden="1" customWidth="1"/>
  </cols>
  <sheetData>
    <row r="1" ht="28.5" customHeight="1" spans="1:10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</row>
    <row r="2" ht="28.5" customHeight="1" spans="1:10">
      <c r="A2" s="15" t="s">
        <v>20</v>
      </c>
      <c r="B2" s="15"/>
      <c r="C2" s="15"/>
      <c r="D2" s="15"/>
      <c r="E2" s="15"/>
      <c r="F2" s="15"/>
      <c r="G2" s="15"/>
      <c r="H2" s="15"/>
      <c r="I2" s="23"/>
      <c r="J2" s="15"/>
    </row>
    <row r="3" ht="22.5" customHeight="1" spans="1:10">
      <c r="A3" s="16" t="s">
        <v>21</v>
      </c>
      <c r="B3" s="17"/>
      <c r="C3" s="17"/>
      <c r="D3" s="17"/>
      <c r="E3" s="17"/>
      <c r="F3" s="17"/>
      <c r="G3" s="17"/>
      <c r="H3" s="17"/>
      <c r="I3" s="25"/>
      <c r="J3" s="26"/>
    </row>
    <row r="4" ht="22.5" customHeight="1" spans="1:10">
      <c r="A4" s="18" t="s">
        <v>411</v>
      </c>
      <c r="B4" s="19"/>
      <c r="C4" s="19"/>
      <c r="D4" s="17"/>
      <c r="E4" s="19"/>
      <c r="F4" s="19"/>
      <c r="G4" s="17"/>
      <c r="H4" s="17"/>
      <c r="I4" s="28"/>
      <c r="J4" s="26"/>
    </row>
    <row r="5" ht="22.5" customHeight="1" spans="1:10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29" t="s">
        <v>29</v>
      </c>
      <c r="J5" s="11" t="s">
        <v>30</v>
      </c>
    </row>
    <row r="6" ht="22.5" customHeight="1" spans="1:12">
      <c r="A6" s="20">
        <v>1</v>
      </c>
      <c r="B6" s="20" t="s">
        <v>31</v>
      </c>
      <c r="C6" s="21" t="s">
        <v>32</v>
      </c>
      <c r="D6" s="35">
        <v>12</v>
      </c>
      <c r="E6" s="35">
        <v>1500</v>
      </c>
      <c r="F6" s="35">
        <v>8560</v>
      </c>
      <c r="G6" s="20" t="s">
        <v>33</v>
      </c>
      <c r="H6" s="35">
        <v>1</v>
      </c>
      <c r="I6" s="36">
        <f>H6*F6*E6*D6*7.85/1000000</f>
        <v>1209.528</v>
      </c>
      <c r="J6" s="35" t="s">
        <v>17</v>
      </c>
      <c r="K6" s="47" t="s">
        <v>412</v>
      </c>
      <c r="L6" s="33">
        <v>1</v>
      </c>
    </row>
    <row r="7" ht="22.5" customHeight="1" spans="1:12">
      <c r="A7" s="20">
        <v>2</v>
      </c>
      <c r="B7" s="20" t="s">
        <v>31</v>
      </c>
      <c r="C7" s="21" t="s">
        <v>32</v>
      </c>
      <c r="D7" s="35">
        <v>12</v>
      </c>
      <c r="E7" s="35">
        <v>1500</v>
      </c>
      <c r="F7" s="35">
        <v>10270</v>
      </c>
      <c r="G7" s="20" t="s">
        <v>33</v>
      </c>
      <c r="H7" s="35">
        <v>1</v>
      </c>
      <c r="I7" s="36">
        <f>H7*F7*E7*D7*7.85/1000000</f>
        <v>1451.151</v>
      </c>
      <c r="J7" s="38" t="s">
        <v>234</v>
      </c>
      <c r="K7" s="47" t="s">
        <v>413</v>
      </c>
      <c r="L7" s="33">
        <v>1</v>
      </c>
    </row>
    <row r="8" ht="22.5" customHeight="1" spans="1:12">
      <c r="A8" s="20">
        <v>3</v>
      </c>
      <c r="B8" s="20" t="s">
        <v>31</v>
      </c>
      <c r="C8" s="21" t="s">
        <v>32</v>
      </c>
      <c r="D8" s="35">
        <v>12</v>
      </c>
      <c r="E8" s="35">
        <f>1960+40</f>
        <v>2000</v>
      </c>
      <c r="F8" s="35">
        <v>7520</v>
      </c>
      <c r="G8" s="20" t="s">
        <v>33</v>
      </c>
      <c r="H8" s="35">
        <v>1</v>
      </c>
      <c r="I8" s="36">
        <f>H8*F8*E8*D8*7.85/1000000</f>
        <v>1416.768</v>
      </c>
      <c r="J8" s="35" t="s">
        <v>16</v>
      </c>
      <c r="K8" s="47" t="s">
        <v>414</v>
      </c>
      <c r="L8" s="33">
        <v>1</v>
      </c>
    </row>
    <row r="9" ht="22.5" customHeight="1" spans="1:12">
      <c r="A9" s="20">
        <v>4</v>
      </c>
      <c r="B9" s="20" t="s">
        <v>31</v>
      </c>
      <c r="C9" s="21" t="s">
        <v>32</v>
      </c>
      <c r="D9" s="35">
        <v>12</v>
      </c>
      <c r="E9" s="35">
        <f>1960+40</f>
        <v>2000</v>
      </c>
      <c r="F9" s="35">
        <v>10020</v>
      </c>
      <c r="G9" s="20" t="s">
        <v>33</v>
      </c>
      <c r="H9" s="35">
        <v>1</v>
      </c>
      <c r="I9" s="36">
        <f>H9*F9*E9*D9*7.85/1000000</f>
        <v>1887.768</v>
      </c>
      <c r="J9" s="35" t="s">
        <v>16</v>
      </c>
      <c r="K9" s="47" t="s">
        <v>415</v>
      </c>
      <c r="L9" s="33">
        <v>1</v>
      </c>
    </row>
    <row r="10" ht="22.5" customHeight="1" spans="1:12">
      <c r="A10" s="20">
        <v>5</v>
      </c>
      <c r="B10" s="20" t="s">
        <v>31</v>
      </c>
      <c r="C10" s="21" t="s">
        <v>32</v>
      </c>
      <c r="D10" s="8">
        <v>16</v>
      </c>
      <c r="E10" s="8">
        <v>1500</v>
      </c>
      <c r="F10" s="8">
        <v>7380</v>
      </c>
      <c r="G10" s="20" t="s">
        <v>33</v>
      </c>
      <c r="H10" s="8">
        <v>1</v>
      </c>
      <c r="I10" s="36">
        <f t="shared" ref="I10:I38" si="0">H10*F10*E10*D10*7.85/1000000</f>
        <v>1390.392</v>
      </c>
      <c r="J10" s="8" t="s">
        <v>11</v>
      </c>
      <c r="K10" s="33" t="s">
        <v>416</v>
      </c>
      <c r="L10" s="48"/>
    </row>
    <row r="11" ht="22.5" customHeight="1" spans="1:16">
      <c r="A11" s="20">
        <v>6</v>
      </c>
      <c r="B11" s="20" t="s">
        <v>31</v>
      </c>
      <c r="C11" s="21" t="s">
        <v>32</v>
      </c>
      <c r="D11" s="8">
        <v>16</v>
      </c>
      <c r="E11" s="8">
        <v>1500</v>
      </c>
      <c r="F11" s="8">
        <v>7420</v>
      </c>
      <c r="G11" s="20" t="s">
        <v>33</v>
      </c>
      <c r="H11" s="8">
        <v>6</v>
      </c>
      <c r="I11" s="36">
        <f t="shared" si="0"/>
        <v>8387.568</v>
      </c>
      <c r="J11" s="8" t="s">
        <v>11</v>
      </c>
      <c r="K11" s="33" t="s">
        <v>417</v>
      </c>
      <c r="L11" s="33" t="s">
        <v>418</v>
      </c>
      <c r="M11" s="33" t="s">
        <v>419</v>
      </c>
      <c r="N11" s="33" t="s">
        <v>420</v>
      </c>
      <c r="O11" s="33" t="s">
        <v>421</v>
      </c>
      <c r="P11" s="33" t="s">
        <v>422</v>
      </c>
    </row>
    <row r="12" ht="22.5" customHeight="1" spans="1:13">
      <c r="A12" s="20">
        <v>7</v>
      </c>
      <c r="B12" s="20" t="s">
        <v>31</v>
      </c>
      <c r="C12" s="21" t="s">
        <v>32</v>
      </c>
      <c r="D12" s="8">
        <v>16</v>
      </c>
      <c r="E12" s="8">
        <v>1500</v>
      </c>
      <c r="F12" s="8">
        <v>7430</v>
      </c>
      <c r="G12" s="20" t="s">
        <v>33</v>
      </c>
      <c r="H12" s="8">
        <v>3</v>
      </c>
      <c r="I12" s="36">
        <f t="shared" si="0"/>
        <v>4199.436</v>
      </c>
      <c r="J12" s="8" t="s">
        <v>11</v>
      </c>
      <c r="K12" s="33" t="s">
        <v>423</v>
      </c>
      <c r="L12" s="33" t="s">
        <v>424</v>
      </c>
      <c r="M12" s="33" t="s">
        <v>425</v>
      </c>
    </row>
    <row r="13" ht="22.5" customHeight="1" spans="1:12">
      <c r="A13" s="20">
        <v>8</v>
      </c>
      <c r="B13" s="20" t="s">
        <v>31</v>
      </c>
      <c r="C13" s="21" t="s">
        <v>32</v>
      </c>
      <c r="D13" s="8">
        <v>16</v>
      </c>
      <c r="E13" s="8">
        <v>1500</v>
      </c>
      <c r="F13" s="8">
        <v>7450</v>
      </c>
      <c r="G13" s="20" t="s">
        <v>33</v>
      </c>
      <c r="H13" s="8">
        <v>1</v>
      </c>
      <c r="I13" s="36">
        <f t="shared" si="0"/>
        <v>1403.58</v>
      </c>
      <c r="J13" s="8" t="s">
        <v>11</v>
      </c>
      <c r="K13" s="33" t="s">
        <v>426</v>
      </c>
      <c r="L13" s="48"/>
    </row>
    <row r="14" ht="22.5" customHeight="1" spans="1:12">
      <c r="A14" s="20">
        <v>9</v>
      </c>
      <c r="B14" s="20" t="s">
        <v>31</v>
      </c>
      <c r="C14" s="21" t="s">
        <v>32</v>
      </c>
      <c r="D14" s="8">
        <v>16</v>
      </c>
      <c r="E14" s="8">
        <v>1500</v>
      </c>
      <c r="F14" s="8">
        <v>7520</v>
      </c>
      <c r="G14" s="20" t="s">
        <v>33</v>
      </c>
      <c r="H14" s="8">
        <v>1</v>
      </c>
      <c r="I14" s="36">
        <f t="shared" si="0"/>
        <v>1416.768</v>
      </c>
      <c r="J14" s="8" t="s">
        <v>11</v>
      </c>
      <c r="K14" s="33" t="s">
        <v>427</v>
      </c>
      <c r="L14" s="48"/>
    </row>
    <row r="15" ht="22.5" customHeight="1" spans="1:13">
      <c r="A15" s="20">
        <v>10</v>
      </c>
      <c r="B15" s="20" t="s">
        <v>31</v>
      </c>
      <c r="C15" s="21" t="s">
        <v>32</v>
      </c>
      <c r="D15" s="8">
        <v>16</v>
      </c>
      <c r="E15" s="8">
        <v>1500</v>
      </c>
      <c r="F15" s="8">
        <v>7760</v>
      </c>
      <c r="G15" s="20" t="s">
        <v>33</v>
      </c>
      <c r="H15" s="8">
        <v>3</v>
      </c>
      <c r="I15" s="36">
        <f t="shared" si="0"/>
        <v>4385.952</v>
      </c>
      <c r="J15" s="8" t="s">
        <v>11</v>
      </c>
      <c r="K15" s="33" t="s">
        <v>428</v>
      </c>
      <c r="L15" s="33" t="s">
        <v>429</v>
      </c>
      <c r="M15" s="33" t="s">
        <v>430</v>
      </c>
    </row>
    <row r="16" ht="22.5" customHeight="1" spans="1:12">
      <c r="A16" s="20">
        <v>11</v>
      </c>
      <c r="B16" s="20" t="s">
        <v>31</v>
      </c>
      <c r="C16" s="21" t="s">
        <v>32</v>
      </c>
      <c r="D16" s="8">
        <v>16</v>
      </c>
      <c r="E16" s="8">
        <v>1500</v>
      </c>
      <c r="F16" s="8">
        <v>8020</v>
      </c>
      <c r="G16" s="20" t="s">
        <v>33</v>
      </c>
      <c r="H16" s="8">
        <v>2</v>
      </c>
      <c r="I16" s="36">
        <f t="shared" si="0"/>
        <v>3021.936</v>
      </c>
      <c r="J16" s="8" t="s">
        <v>34</v>
      </c>
      <c r="K16" s="33" t="s">
        <v>431</v>
      </c>
      <c r="L16" s="33" t="s">
        <v>432</v>
      </c>
    </row>
    <row r="17" ht="22.5" customHeight="1" spans="1:12">
      <c r="A17" s="20">
        <v>12</v>
      </c>
      <c r="B17" s="20" t="s">
        <v>31</v>
      </c>
      <c r="C17" s="21" t="s">
        <v>32</v>
      </c>
      <c r="D17" s="8">
        <v>16</v>
      </c>
      <c r="E17" s="8">
        <v>1500</v>
      </c>
      <c r="F17" s="8">
        <v>8030</v>
      </c>
      <c r="G17" s="20" t="s">
        <v>33</v>
      </c>
      <c r="H17" s="8">
        <v>1</v>
      </c>
      <c r="I17" s="36">
        <f t="shared" si="0"/>
        <v>1512.852</v>
      </c>
      <c r="J17" s="8" t="s">
        <v>34</v>
      </c>
      <c r="K17" s="33" t="s">
        <v>433</v>
      </c>
      <c r="L17" s="48"/>
    </row>
    <row r="18" ht="22.5" customHeight="1" spans="1:13">
      <c r="A18" s="20">
        <v>13</v>
      </c>
      <c r="B18" s="20" t="s">
        <v>31</v>
      </c>
      <c r="C18" s="21" t="s">
        <v>32</v>
      </c>
      <c r="D18" s="8">
        <v>16</v>
      </c>
      <c r="E18" s="8">
        <v>1500</v>
      </c>
      <c r="F18" s="8">
        <v>9710</v>
      </c>
      <c r="G18" s="20" t="s">
        <v>33</v>
      </c>
      <c r="H18" s="8">
        <v>3</v>
      </c>
      <c r="I18" s="36">
        <f t="shared" si="0"/>
        <v>5488.092</v>
      </c>
      <c r="J18" s="8" t="s">
        <v>11</v>
      </c>
      <c r="K18" s="33" t="s">
        <v>434</v>
      </c>
      <c r="L18" s="33" t="s">
        <v>435</v>
      </c>
      <c r="M18" s="33" t="s">
        <v>436</v>
      </c>
    </row>
    <row r="19" ht="22.5" customHeight="1" spans="1:12">
      <c r="A19" s="20">
        <v>14</v>
      </c>
      <c r="B19" s="20" t="s">
        <v>31</v>
      </c>
      <c r="C19" s="21" t="s">
        <v>32</v>
      </c>
      <c r="D19" s="8">
        <v>16</v>
      </c>
      <c r="E19" s="8">
        <v>1500</v>
      </c>
      <c r="F19" s="8">
        <v>10010</v>
      </c>
      <c r="G19" s="20" t="s">
        <v>33</v>
      </c>
      <c r="H19" s="8">
        <v>1</v>
      </c>
      <c r="I19" s="36">
        <f t="shared" si="0"/>
        <v>1885.884</v>
      </c>
      <c r="J19" s="8" t="s">
        <v>34</v>
      </c>
      <c r="K19" s="33" t="s">
        <v>437</v>
      </c>
      <c r="L19" s="48"/>
    </row>
    <row r="20" ht="22.5" customHeight="1" spans="1:12">
      <c r="A20" s="20">
        <v>15</v>
      </c>
      <c r="B20" s="20" t="s">
        <v>31</v>
      </c>
      <c r="C20" s="21" t="s">
        <v>32</v>
      </c>
      <c r="D20" s="8">
        <v>16</v>
      </c>
      <c r="E20" s="8">
        <v>1500</v>
      </c>
      <c r="F20" s="8">
        <v>11470</v>
      </c>
      <c r="G20" s="20" t="s">
        <v>33</v>
      </c>
      <c r="H20" s="8">
        <v>1</v>
      </c>
      <c r="I20" s="36">
        <f t="shared" si="0"/>
        <v>2160.948</v>
      </c>
      <c r="J20" s="8" t="s">
        <v>34</v>
      </c>
      <c r="K20" s="33" t="s">
        <v>438</v>
      </c>
      <c r="L20" s="48"/>
    </row>
    <row r="21" ht="22.5" customHeight="1" spans="1:12">
      <c r="A21" s="20">
        <v>16</v>
      </c>
      <c r="B21" s="20" t="s">
        <v>31</v>
      </c>
      <c r="C21" s="21" t="s">
        <v>32</v>
      </c>
      <c r="D21" s="8">
        <v>16</v>
      </c>
      <c r="E21" s="8">
        <v>1500</v>
      </c>
      <c r="F21" s="8">
        <v>11890</v>
      </c>
      <c r="G21" s="20" t="s">
        <v>33</v>
      </c>
      <c r="H21" s="8">
        <v>1</v>
      </c>
      <c r="I21" s="36">
        <f t="shared" si="0"/>
        <v>2240.076</v>
      </c>
      <c r="J21" s="8" t="s">
        <v>34</v>
      </c>
      <c r="K21" s="33" t="s">
        <v>439</v>
      </c>
      <c r="L21" s="48"/>
    </row>
    <row r="22" ht="22.5" customHeight="1" spans="1:12">
      <c r="A22" s="20">
        <v>17</v>
      </c>
      <c r="B22" s="20" t="s">
        <v>31</v>
      </c>
      <c r="C22" s="21" t="s">
        <v>32</v>
      </c>
      <c r="D22" s="8">
        <v>16</v>
      </c>
      <c r="E22" s="8">
        <v>1800</v>
      </c>
      <c r="F22" s="8">
        <v>7280</v>
      </c>
      <c r="G22" s="20" t="s">
        <v>33</v>
      </c>
      <c r="H22" s="8">
        <v>1</v>
      </c>
      <c r="I22" s="36">
        <f t="shared" si="0"/>
        <v>1645.8624</v>
      </c>
      <c r="J22" s="8" t="s">
        <v>11</v>
      </c>
      <c r="K22" s="33" t="s">
        <v>440</v>
      </c>
      <c r="L22" s="48"/>
    </row>
    <row r="23" ht="22.5" customHeight="1" spans="1:12">
      <c r="A23" s="20">
        <v>18</v>
      </c>
      <c r="B23" s="20" t="s">
        <v>31</v>
      </c>
      <c r="C23" s="21" t="s">
        <v>32</v>
      </c>
      <c r="D23" s="8">
        <v>16</v>
      </c>
      <c r="E23" s="8">
        <v>1800</v>
      </c>
      <c r="F23" s="8">
        <v>7310</v>
      </c>
      <c r="G23" s="20" t="s">
        <v>33</v>
      </c>
      <c r="H23" s="8">
        <v>1</v>
      </c>
      <c r="I23" s="36">
        <f t="shared" si="0"/>
        <v>1652.6448</v>
      </c>
      <c r="J23" s="8" t="s">
        <v>11</v>
      </c>
      <c r="K23" s="33" t="s">
        <v>441</v>
      </c>
      <c r="L23" s="48"/>
    </row>
    <row r="24" ht="22.5" customHeight="1" spans="1:12">
      <c r="A24" s="20">
        <v>19</v>
      </c>
      <c r="B24" s="20" t="s">
        <v>31</v>
      </c>
      <c r="C24" s="21" t="s">
        <v>32</v>
      </c>
      <c r="D24" s="8">
        <v>16</v>
      </c>
      <c r="E24" s="8">
        <v>1800</v>
      </c>
      <c r="F24" s="8">
        <v>7620</v>
      </c>
      <c r="G24" s="20" t="s">
        <v>33</v>
      </c>
      <c r="H24" s="8">
        <v>1</v>
      </c>
      <c r="I24" s="36">
        <f t="shared" si="0"/>
        <v>1722.7296</v>
      </c>
      <c r="J24" s="8" t="s">
        <v>12</v>
      </c>
      <c r="K24" s="33" t="s">
        <v>442</v>
      </c>
      <c r="L24" s="48"/>
    </row>
    <row r="25" ht="22.5" customHeight="1" spans="1:12">
      <c r="A25" s="20">
        <v>20</v>
      </c>
      <c r="B25" s="20" t="s">
        <v>31</v>
      </c>
      <c r="C25" s="21" t="s">
        <v>32</v>
      </c>
      <c r="D25" s="8">
        <v>16</v>
      </c>
      <c r="E25" s="8">
        <v>1800</v>
      </c>
      <c r="F25" s="8">
        <v>7630</v>
      </c>
      <c r="G25" s="20" t="s">
        <v>33</v>
      </c>
      <c r="H25" s="8">
        <v>1</v>
      </c>
      <c r="I25" s="36">
        <f t="shared" si="0"/>
        <v>1724.9904</v>
      </c>
      <c r="J25" s="8" t="s">
        <v>12</v>
      </c>
      <c r="K25" s="33" t="s">
        <v>443</v>
      </c>
      <c r="L25" s="48"/>
    </row>
    <row r="26" ht="22.5" customHeight="1" spans="1:12">
      <c r="A26" s="20">
        <v>21</v>
      </c>
      <c r="B26" s="20" t="s">
        <v>31</v>
      </c>
      <c r="C26" s="21" t="s">
        <v>32</v>
      </c>
      <c r="D26" s="8">
        <v>16</v>
      </c>
      <c r="E26" s="8">
        <v>1800</v>
      </c>
      <c r="F26" s="8">
        <v>7860</v>
      </c>
      <c r="G26" s="20" t="s">
        <v>33</v>
      </c>
      <c r="H26" s="8">
        <v>1</v>
      </c>
      <c r="I26" s="36">
        <f t="shared" si="0"/>
        <v>1776.9888</v>
      </c>
      <c r="J26" s="8" t="s">
        <v>12</v>
      </c>
      <c r="K26" s="33" t="s">
        <v>444</v>
      </c>
      <c r="L26" s="48"/>
    </row>
    <row r="27" ht="22.5" customHeight="1" spans="1:12">
      <c r="A27" s="20">
        <v>22</v>
      </c>
      <c r="B27" s="20" t="s">
        <v>31</v>
      </c>
      <c r="C27" s="21" t="s">
        <v>32</v>
      </c>
      <c r="D27" s="8">
        <v>16</v>
      </c>
      <c r="E27" s="8">
        <v>1800</v>
      </c>
      <c r="F27" s="8">
        <v>8020</v>
      </c>
      <c r="G27" s="20" t="s">
        <v>33</v>
      </c>
      <c r="H27" s="8">
        <v>1</v>
      </c>
      <c r="I27" s="36">
        <f t="shared" si="0"/>
        <v>1813.1616</v>
      </c>
      <c r="J27" s="8" t="s">
        <v>12</v>
      </c>
      <c r="K27" s="33" t="s">
        <v>445</v>
      </c>
      <c r="L27" s="48"/>
    </row>
    <row r="28" ht="22.5" customHeight="1" spans="1:12">
      <c r="A28" s="20">
        <v>23</v>
      </c>
      <c r="B28" s="20" t="s">
        <v>31</v>
      </c>
      <c r="C28" s="21" t="s">
        <v>32</v>
      </c>
      <c r="D28" s="8">
        <v>16</v>
      </c>
      <c r="E28" s="8">
        <v>1800</v>
      </c>
      <c r="F28" s="8">
        <v>8030</v>
      </c>
      <c r="G28" s="20" t="s">
        <v>33</v>
      </c>
      <c r="H28" s="8">
        <v>1</v>
      </c>
      <c r="I28" s="36">
        <f t="shared" si="0"/>
        <v>1815.4224</v>
      </c>
      <c r="J28" s="8" t="s">
        <v>12</v>
      </c>
      <c r="K28" s="33" t="s">
        <v>446</v>
      </c>
      <c r="L28" s="48"/>
    </row>
    <row r="29" ht="22.5" customHeight="1" spans="1:12">
      <c r="A29" s="20">
        <v>24</v>
      </c>
      <c r="B29" s="20" t="s">
        <v>31</v>
      </c>
      <c r="C29" s="21" t="s">
        <v>32</v>
      </c>
      <c r="D29" s="8">
        <v>16</v>
      </c>
      <c r="E29" s="8">
        <v>1800</v>
      </c>
      <c r="F29" s="8">
        <v>8060</v>
      </c>
      <c r="G29" s="20" t="s">
        <v>33</v>
      </c>
      <c r="H29" s="8">
        <v>1</v>
      </c>
      <c r="I29" s="36">
        <f t="shared" si="0"/>
        <v>1822.2048</v>
      </c>
      <c r="J29" s="8" t="s">
        <v>12</v>
      </c>
      <c r="K29" s="33" t="s">
        <v>447</v>
      </c>
      <c r="L29" s="48"/>
    </row>
    <row r="30" ht="22.5" customHeight="1" spans="1:12">
      <c r="A30" s="20">
        <v>25</v>
      </c>
      <c r="B30" s="20" t="s">
        <v>31</v>
      </c>
      <c r="C30" s="21" t="s">
        <v>32</v>
      </c>
      <c r="D30" s="8">
        <v>16</v>
      </c>
      <c r="E30" s="8">
        <v>1800</v>
      </c>
      <c r="F30" s="8">
        <v>8180</v>
      </c>
      <c r="G30" s="20" t="s">
        <v>33</v>
      </c>
      <c r="H30" s="8">
        <v>1</v>
      </c>
      <c r="I30" s="36">
        <f t="shared" si="0"/>
        <v>1849.3344</v>
      </c>
      <c r="J30" s="8" t="s">
        <v>11</v>
      </c>
      <c r="K30" s="33" t="s">
        <v>448</v>
      </c>
      <c r="L30" s="48"/>
    </row>
    <row r="31" ht="22.5" customHeight="1" spans="1:12">
      <c r="A31" s="20">
        <v>26</v>
      </c>
      <c r="B31" s="20" t="s">
        <v>31</v>
      </c>
      <c r="C31" s="21" t="s">
        <v>32</v>
      </c>
      <c r="D31" s="8">
        <v>16</v>
      </c>
      <c r="E31" s="8">
        <v>1800</v>
      </c>
      <c r="F31" s="8">
        <v>8200</v>
      </c>
      <c r="G31" s="20" t="s">
        <v>33</v>
      </c>
      <c r="H31" s="8">
        <v>1</v>
      </c>
      <c r="I31" s="36">
        <f t="shared" si="0"/>
        <v>1853.856</v>
      </c>
      <c r="J31" s="8" t="s">
        <v>12</v>
      </c>
      <c r="K31" s="33" t="s">
        <v>449</v>
      </c>
      <c r="L31" s="48"/>
    </row>
    <row r="32" ht="22.5" customHeight="1" spans="1:12">
      <c r="A32" s="20">
        <v>27</v>
      </c>
      <c r="B32" s="20" t="s">
        <v>31</v>
      </c>
      <c r="C32" s="21" t="s">
        <v>32</v>
      </c>
      <c r="D32" s="8">
        <v>16</v>
      </c>
      <c r="E32" s="8">
        <v>1800</v>
      </c>
      <c r="F32" s="8">
        <v>8320</v>
      </c>
      <c r="G32" s="20" t="s">
        <v>33</v>
      </c>
      <c r="H32" s="8">
        <v>1</v>
      </c>
      <c r="I32" s="36">
        <f t="shared" si="0"/>
        <v>1880.9856</v>
      </c>
      <c r="J32" s="8" t="s">
        <v>12</v>
      </c>
      <c r="K32" s="33" t="s">
        <v>450</v>
      </c>
      <c r="L32" s="48"/>
    </row>
    <row r="33" ht="22.5" customHeight="1" spans="1:12">
      <c r="A33" s="20">
        <v>28</v>
      </c>
      <c r="B33" s="20" t="s">
        <v>31</v>
      </c>
      <c r="C33" s="21" t="s">
        <v>32</v>
      </c>
      <c r="D33" s="8">
        <v>16</v>
      </c>
      <c r="E33" s="8">
        <v>1800</v>
      </c>
      <c r="F33" s="8">
        <v>8480</v>
      </c>
      <c r="G33" s="20" t="s">
        <v>33</v>
      </c>
      <c r="H33" s="8">
        <v>1</v>
      </c>
      <c r="I33" s="36">
        <f t="shared" si="0"/>
        <v>1917.1584</v>
      </c>
      <c r="J33" s="8" t="s">
        <v>11</v>
      </c>
      <c r="K33" s="33" t="s">
        <v>451</v>
      </c>
      <c r="L33" s="48"/>
    </row>
    <row r="34" ht="22.5" customHeight="1" spans="1:12">
      <c r="A34" s="20">
        <v>29</v>
      </c>
      <c r="B34" s="20" t="s">
        <v>31</v>
      </c>
      <c r="C34" s="21" t="s">
        <v>32</v>
      </c>
      <c r="D34" s="8">
        <v>16</v>
      </c>
      <c r="E34" s="8">
        <v>1800</v>
      </c>
      <c r="F34" s="8">
        <v>10010</v>
      </c>
      <c r="G34" s="20" t="s">
        <v>33</v>
      </c>
      <c r="H34" s="8">
        <v>1</v>
      </c>
      <c r="I34" s="36">
        <f t="shared" si="0"/>
        <v>2263.0608</v>
      </c>
      <c r="J34" s="8" t="s">
        <v>12</v>
      </c>
      <c r="K34" s="33" t="s">
        <v>452</v>
      </c>
      <c r="L34" s="48"/>
    </row>
    <row r="35" ht="22.5" customHeight="1" spans="1:12">
      <c r="A35" s="20">
        <v>30</v>
      </c>
      <c r="B35" s="20" t="s">
        <v>31</v>
      </c>
      <c r="C35" s="21" t="s">
        <v>32</v>
      </c>
      <c r="D35" s="8">
        <v>16</v>
      </c>
      <c r="E35" s="8">
        <v>1800</v>
      </c>
      <c r="F35" s="8">
        <v>11950</v>
      </c>
      <c r="G35" s="20" t="s">
        <v>33</v>
      </c>
      <c r="H35" s="8">
        <v>1</v>
      </c>
      <c r="I35" s="36">
        <f t="shared" si="0"/>
        <v>2701.656</v>
      </c>
      <c r="J35" s="8" t="s">
        <v>12</v>
      </c>
      <c r="K35" s="33" t="s">
        <v>453</v>
      </c>
      <c r="L35" s="48"/>
    </row>
    <row r="36" ht="22.5" customHeight="1" spans="1:12">
      <c r="A36" s="20">
        <v>31</v>
      </c>
      <c r="B36" s="20" t="s">
        <v>31</v>
      </c>
      <c r="C36" s="21" t="s">
        <v>32</v>
      </c>
      <c r="D36" s="8">
        <v>16</v>
      </c>
      <c r="E36" s="8">
        <v>1800</v>
      </c>
      <c r="F36" s="8">
        <v>12320</v>
      </c>
      <c r="G36" s="20" t="s">
        <v>33</v>
      </c>
      <c r="H36" s="8">
        <v>1</v>
      </c>
      <c r="I36" s="36">
        <f t="shared" si="0"/>
        <v>2785.3056</v>
      </c>
      <c r="J36" s="8" t="s">
        <v>34</v>
      </c>
      <c r="K36" s="33" t="s">
        <v>454</v>
      </c>
      <c r="L36" s="48"/>
    </row>
    <row r="37" ht="22.5" customHeight="1" spans="1:12">
      <c r="A37" s="20">
        <v>32</v>
      </c>
      <c r="B37" s="20" t="s">
        <v>31</v>
      </c>
      <c r="C37" s="21" t="s">
        <v>32</v>
      </c>
      <c r="D37" s="8">
        <v>16</v>
      </c>
      <c r="E37" s="8">
        <v>1800</v>
      </c>
      <c r="F37" s="8">
        <v>12920</v>
      </c>
      <c r="G37" s="20" t="s">
        <v>33</v>
      </c>
      <c r="H37" s="8">
        <v>1</v>
      </c>
      <c r="I37" s="36">
        <f t="shared" si="0"/>
        <v>2920.9536</v>
      </c>
      <c r="J37" s="8" t="s">
        <v>34</v>
      </c>
      <c r="K37" s="33" t="s">
        <v>455</v>
      </c>
      <c r="L37" s="48"/>
    </row>
    <row r="38" ht="22.5" customHeight="1" spans="1:14">
      <c r="A38" s="20">
        <v>33</v>
      </c>
      <c r="B38" s="20" t="s">
        <v>31</v>
      </c>
      <c r="C38" s="21" t="s">
        <v>32</v>
      </c>
      <c r="D38" s="8">
        <v>16</v>
      </c>
      <c r="E38" s="8">
        <v>2000</v>
      </c>
      <c r="F38" s="8">
        <v>12560</v>
      </c>
      <c r="G38" s="5" t="s">
        <v>33</v>
      </c>
      <c r="H38" s="8">
        <v>1</v>
      </c>
      <c r="I38" s="36">
        <f t="shared" si="0"/>
        <v>3155.072</v>
      </c>
      <c r="J38" s="8" t="s">
        <v>12</v>
      </c>
      <c r="K38" s="33" t="s">
        <v>456</v>
      </c>
      <c r="L38" s="48"/>
      <c r="M38" s="49">
        <f>SUM(I10:I38)</f>
        <v>72794.8712</v>
      </c>
      <c r="N38" s="48">
        <f>[11]Sheet2!$Q$30</f>
        <v>72794.8712</v>
      </c>
    </row>
    <row r="39" ht="22.5" customHeight="1" spans="1:10">
      <c r="A39" s="5" t="s">
        <v>40</v>
      </c>
      <c r="B39" s="5"/>
      <c r="C39" s="5"/>
      <c r="D39" s="5"/>
      <c r="E39" s="5"/>
      <c r="F39" s="5"/>
      <c r="G39" s="5"/>
      <c r="H39" s="5"/>
      <c r="I39" s="34">
        <f>SUM(I6:I38)</f>
        <v>78760.0862</v>
      </c>
      <c r="J39" s="13"/>
    </row>
    <row r="40" ht="22.5" customHeight="1" spans="1:10">
      <c r="A40" s="22" t="s">
        <v>41</v>
      </c>
      <c r="B40" s="22"/>
      <c r="C40" s="22"/>
      <c r="D40" s="22"/>
      <c r="E40" s="22"/>
      <c r="F40" s="22"/>
      <c r="G40" s="22"/>
      <c r="H40" s="22"/>
      <c r="I40" s="22"/>
      <c r="J40" s="22"/>
    </row>
    <row r="41" ht="22.5" customHeight="1" spans="1:12">
      <c r="A41" s="22" t="s">
        <v>401</v>
      </c>
      <c r="B41" s="22"/>
      <c r="C41" s="22"/>
      <c r="D41" s="22"/>
      <c r="E41" s="22"/>
      <c r="F41" s="22"/>
      <c r="G41" s="22"/>
      <c r="H41" s="22"/>
      <c r="I41" s="22"/>
      <c r="J41" s="22"/>
      <c r="K41">
        <f>[6]D桥估料表!$G$24</f>
        <v>125608.2077088</v>
      </c>
      <c r="L41">
        <v>125608.2077088</v>
      </c>
    </row>
    <row r="42" ht="16.5" spans="1:10">
      <c r="A42" s="16" t="s">
        <v>457</v>
      </c>
      <c r="B42" s="17"/>
      <c r="C42" s="17"/>
      <c r="D42" s="17"/>
      <c r="E42" s="17"/>
      <c r="F42" s="17"/>
      <c r="G42" s="17"/>
      <c r="H42" s="17"/>
      <c r="I42" s="17"/>
      <c r="J42" s="17"/>
    </row>
  </sheetData>
  <autoFilter ref="A5:J42">
    <sortState ref="A5:J42">
      <sortCondition ref="E5"/>
    </sortState>
    <extLst/>
  </autoFilter>
  <mergeCells count="7">
    <mergeCell ref="A1:J1"/>
    <mergeCell ref="A2:J2"/>
    <mergeCell ref="A3:F3"/>
    <mergeCell ref="A39:H39"/>
    <mergeCell ref="A40:J40"/>
    <mergeCell ref="A41:J41"/>
    <mergeCell ref="A42:J42"/>
  </mergeCells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8"/>
  <dimension ref="A1:P41"/>
  <sheetViews>
    <sheetView workbookViewId="0">
      <selection activeCell="A41" sqref="A2:J41"/>
    </sheetView>
  </sheetViews>
  <sheetFormatPr defaultColWidth="9" defaultRowHeight="13.5"/>
  <cols>
    <col min="1" max="1" width="6.125" customWidth="1"/>
    <col min="2" max="2" width="8.25" customWidth="1"/>
    <col min="3" max="3" width="10.3416666666667" customWidth="1"/>
    <col min="4" max="4" width="8.125" customWidth="1"/>
    <col min="5" max="5" width="8.875" customWidth="1"/>
    <col min="6" max="6" width="9.625" customWidth="1"/>
    <col min="7" max="7" width="6.625" customWidth="1"/>
    <col min="8" max="8" width="6.375" customWidth="1"/>
    <col min="9" max="9" width="11.375" style="14" customWidth="1"/>
    <col min="10" max="10" width="12" customWidth="1"/>
    <col min="11" max="11" width="12.3416666666667" hidden="1" customWidth="1"/>
    <col min="12" max="14" width="9.375" hidden="1" customWidth="1"/>
    <col min="15" max="17" width="9" hidden="1" customWidth="1"/>
  </cols>
  <sheetData>
    <row r="1" ht="28.5" customHeight="1" spans="1:12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  <c r="K1" s="24"/>
      <c r="L1" s="24"/>
    </row>
    <row r="2" ht="28.5" customHeight="1" spans="1:12">
      <c r="A2" s="15" t="s">
        <v>20</v>
      </c>
      <c r="B2" s="15"/>
      <c r="C2" s="15"/>
      <c r="D2" s="15"/>
      <c r="E2" s="15"/>
      <c r="F2" s="15"/>
      <c r="G2" s="15"/>
      <c r="H2" s="15"/>
      <c r="I2" s="23"/>
      <c r="J2" s="15"/>
      <c r="K2" s="24"/>
      <c r="L2" s="24"/>
    </row>
    <row r="3" ht="22.5" customHeight="1" spans="1:12">
      <c r="A3" s="16" t="s">
        <v>21</v>
      </c>
      <c r="B3" s="17"/>
      <c r="C3" s="17"/>
      <c r="D3" s="17"/>
      <c r="E3" s="17"/>
      <c r="F3" s="17"/>
      <c r="G3" s="17"/>
      <c r="H3" s="17"/>
      <c r="I3" s="25"/>
      <c r="J3" s="26"/>
      <c r="K3" s="27"/>
      <c r="L3" s="27"/>
    </row>
    <row r="4" ht="22.5" customHeight="1" spans="1:12">
      <c r="A4" s="18" t="s">
        <v>458</v>
      </c>
      <c r="B4" s="19"/>
      <c r="C4" s="19"/>
      <c r="D4" s="17"/>
      <c r="E4" s="19"/>
      <c r="F4" s="19"/>
      <c r="G4" s="17"/>
      <c r="H4" s="17"/>
      <c r="I4" s="28"/>
      <c r="J4" s="26"/>
      <c r="K4" s="27"/>
      <c r="L4" s="27"/>
    </row>
    <row r="5" ht="22.5" customHeight="1" spans="1:12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29" t="s">
        <v>29</v>
      </c>
      <c r="J5" s="11" t="s">
        <v>30</v>
      </c>
      <c r="K5" s="30"/>
      <c r="L5" s="30"/>
    </row>
    <row r="6" ht="22.5" customHeight="1" spans="1:12">
      <c r="A6" s="5">
        <v>1</v>
      </c>
      <c r="B6" s="5" t="s">
        <v>31</v>
      </c>
      <c r="C6" s="39" t="s">
        <v>32</v>
      </c>
      <c r="D6" s="5">
        <v>12</v>
      </c>
      <c r="E6" s="5">
        <v>1500</v>
      </c>
      <c r="F6" s="5">
        <v>8560</v>
      </c>
      <c r="G6" s="5" t="s">
        <v>33</v>
      </c>
      <c r="H6" s="5">
        <v>1</v>
      </c>
      <c r="I6" s="40">
        <f t="shared" ref="I6:I9" si="0">H6*F6*E6*D6*7.85/1000000</f>
        <v>1209.528</v>
      </c>
      <c r="J6" s="5" t="s">
        <v>459</v>
      </c>
      <c r="K6" s="37" t="s">
        <v>460</v>
      </c>
      <c r="L6" s="8">
        <v>1</v>
      </c>
    </row>
    <row r="7" ht="22.5" customHeight="1" spans="1:12">
      <c r="A7" s="5">
        <v>2</v>
      </c>
      <c r="B7" s="5" t="s">
        <v>31</v>
      </c>
      <c r="C7" s="39" t="s">
        <v>32</v>
      </c>
      <c r="D7" s="5">
        <v>12</v>
      </c>
      <c r="E7" s="5">
        <v>1500</v>
      </c>
      <c r="F7" s="5">
        <v>10270</v>
      </c>
      <c r="G7" s="5" t="s">
        <v>33</v>
      </c>
      <c r="H7" s="5">
        <v>1</v>
      </c>
      <c r="I7" s="40">
        <f t="shared" si="0"/>
        <v>1451.151</v>
      </c>
      <c r="J7" s="39" t="s">
        <v>461</v>
      </c>
      <c r="K7" s="37" t="s">
        <v>462</v>
      </c>
      <c r="L7" s="8">
        <v>1</v>
      </c>
    </row>
    <row r="8" ht="22.5" customHeight="1" spans="1:12">
      <c r="A8" s="5">
        <v>3</v>
      </c>
      <c r="B8" s="5" t="s">
        <v>31</v>
      </c>
      <c r="C8" s="39" t="s">
        <v>32</v>
      </c>
      <c r="D8" s="5">
        <v>12</v>
      </c>
      <c r="E8" s="5">
        <f>1960+40</f>
        <v>2000</v>
      </c>
      <c r="F8" s="5">
        <v>7520</v>
      </c>
      <c r="G8" s="5" t="s">
        <v>33</v>
      </c>
      <c r="H8" s="5">
        <v>1</v>
      </c>
      <c r="I8" s="40">
        <f t="shared" si="0"/>
        <v>1416.768</v>
      </c>
      <c r="J8" s="5" t="s">
        <v>463</v>
      </c>
      <c r="K8" s="37" t="s">
        <v>464</v>
      </c>
      <c r="L8" s="8">
        <v>1</v>
      </c>
    </row>
    <row r="9" ht="22.5" customHeight="1" spans="1:12">
      <c r="A9" s="5">
        <v>4</v>
      </c>
      <c r="B9" s="5" t="s">
        <v>31</v>
      </c>
      <c r="C9" s="39" t="s">
        <v>32</v>
      </c>
      <c r="D9" s="5">
        <v>12</v>
      </c>
      <c r="E9" s="5">
        <f>1960+40</f>
        <v>2000</v>
      </c>
      <c r="F9" s="5">
        <v>10020</v>
      </c>
      <c r="G9" s="5" t="s">
        <v>33</v>
      </c>
      <c r="H9" s="5">
        <v>1</v>
      </c>
      <c r="I9" s="40">
        <f t="shared" si="0"/>
        <v>1887.768</v>
      </c>
      <c r="J9" s="5" t="s">
        <v>463</v>
      </c>
      <c r="K9" s="37" t="s">
        <v>465</v>
      </c>
      <c r="L9" s="8">
        <v>1</v>
      </c>
    </row>
    <row r="10" ht="22.5" customHeight="1" spans="1:16">
      <c r="A10" s="5">
        <v>5</v>
      </c>
      <c r="B10" s="5" t="s">
        <v>31</v>
      </c>
      <c r="C10" s="39" t="s">
        <v>32</v>
      </c>
      <c r="D10" s="8">
        <v>16</v>
      </c>
      <c r="E10" s="8">
        <v>1500</v>
      </c>
      <c r="F10" s="8">
        <v>7820</v>
      </c>
      <c r="G10" s="5" t="s">
        <v>33</v>
      </c>
      <c r="H10" s="8">
        <v>6</v>
      </c>
      <c r="I10" s="40">
        <f t="shared" ref="I10:I40" si="1">H10*F10*E10*D10*7.85/1000000</f>
        <v>8839.728</v>
      </c>
      <c r="J10" s="8" t="s">
        <v>11</v>
      </c>
      <c r="K10" s="33" t="s">
        <v>466</v>
      </c>
      <c r="L10" s="33" t="s">
        <v>467</v>
      </c>
      <c r="M10" s="33" t="s">
        <v>468</v>
      </c>
      <c r="N10" s="33" t="s">
        <v>469</v>
      </c>
      <c r="O10" s="33" t="s">
        <v>470</v>
      </c>
      <c r="P10" s="33" t="s">
        <v>471</v>
      </c>
    </row>
    <row r="11" ht="22.5" customHeight="1" spans="1:12">
      <c r="A11" s="5">
        <v>6</v>
      </c>
      <c r="B11" s="5" t="s">
        <v>31</v>
      </c>
      <c r="C11" s="39" t="s">
        <v>32</v>
      </c>
      <c r="D11" s="8">
        <v>16</v>
      </c>
      <c r="E11" s="8">
        <v>1500</v>
      </c>
      <c r="F11" s="8">
        <v>8150</v>
      </c>
      <c r="G11" s="5" t="s">
        <v>33</v>
      </c>
      <c r="H11" s="8">
        <v>1</v>
      </c>
      <c r="I11" s="40">
        <f t="shared" si="1"/>
        <v>1535.46</v>
      </c>
      <c r="J11" s="8" t="s">
        <v>11</v>
      </c>
      <c r="K11" s="33" t="s">
        <v>472</v>
      </c>
      <c r="L11" s="32"/>
    </row>
    <row r="12" ht="22.5" customHeight="1" spans="1:12">
      <c r="A12" s="5">
        <v>7</v>
      </c>
      <c r="B12" s="5" t="s">
        <v>31</v>
      </c>
      <c r="C12" s="39" t="s">
        <v>32</v>
      </c>
      <c r="D12" s="8">
        <v>16</v>
      </c>
      <c r="E12" s="8">
        <v>1500</v>
      </c>
      <c r="F12" s="8">
        <v>8420</v>
      </c>
      <c r="G12" s="5" t="s">
        <v>33</v>
      </c>
      <c r="H12" s="8">
        <v>2</v>
      </c>
      <c r="I12" s="40">
        <f t="shared" si="1"/>
        <v>3172.656</v>
      </c>
      <c r="J12" s="8" t="s">
        <v>34</v>
      </c>
      <c r="K12" s="33" t="s">
        <v>473</v>
      </c>
      <c r="L12" s="33" t="s">
        <v>474</v>
      </c>
    </row>
    <row r="13" ht="22.5" customHeight="1" spans="1:12">
      <c r="A13" s="5">
        <v>8</v>
      </c>
      <c r="B13" s="5" t="s">
        <v>31</v>
      </c>
      <c r="C13" s="39" t="s">
        <v>32</v>
      </c>
      <c r="D13" s="8">
        <v>16</v>
      </c>
      <c r="E13" s="8">
        <v>1500</v>
      </c>
      <c r="F13" s="8">
        <v>8460</v>
      </c>
      <c r="G13" s="5" t="s">
        <v>33</v>
      </c>
      <c r="H13" s="8">
        <v>1</v>
      </c>
      <c r="I13" s="40">
        <f t="shared" si="1"/>
        <v>1593.864</v>
      </c>
      <c r="J13" s="8" t="s">
        <v>34</v>
      </c>
      <c r="K13" s="33" t="s">
        <v>475</v>
      </c>
      <c r="L13" s="32"/>
    </row>
    <row r="14" ht="22.5" customHeight="1" spans="1:12">
      <c r="A14" s="5">
        <v>9</v>
      </c>
      <c r="B14" s="5" t="s">
        <v>31</v>
      </c>
      <c r="C14" s="39" t="s">
        <v>32</v>
      </c>
      <c r="D14" s="8">
        <v>16</v>
      </c>
      <c r="E14" s="8">
        <v>1500</v>
      </c>
      <c r="F14" s="8">
        <v>8470</v>
      </c>
      <c r="G14" s="5" t="s">
        <v>33</v>
      </c>
      <c r="H14" s="8">
        <v>1</v>
      </c>
      <c r="I14" s="40">
        <f t="shared" si="1"/>
        <v>1595.748</v>
      </c>
      <c r="J14" s="8" t="s">
        <v>34</v>
      </c>
      <c r="K14" s="33" t="s">
        <v>476</v>
      </c>
      <c r="L14" s="32"/>
    </row>
    <row r="15" ht="22.5" customHeight="1" spans="1:13">
      <c r="A15" s="5">
        <v>10</v>
      </c>
      <c r="B15" s="5" t="s">
        <v>31</v>
      </c>
      <c r="C15" s="39" t="s">
        <v>32</v>
      </c>
      <c r="D15" s="8">
        <v>16</v>
      </c>
      <c r="E15" s="8">
        <v>1500</v>
      </c>
      <c r="F15" s="8">
        <v>10110</v>
      </c>
      <c r="G15" s="5" t="s">
        <v>33</v>
      </c>
      <c r="H15" s="8">
        <v>3</v>
      </c>
      <c r="I15" s="40">
        <f t="shared" si="1"/>
        <v>5714.172</v>
      </c>
      <c r="J15" s="8" t="s">
        <v>11</v>
      </c>
      <c r="K15" s="33" t="s">
        <v>477</v>
      </c>
      <c r="L15" s="33" t="s">
        <v>478</v>
      </c>
      <c r="M15" s="33" t="s">
        <v>479</v>
      </c>
    </row>
    <row r="16" ht="22.5" customHeight="1" spans="1:12">
      <c r="A16" s="5">
        <v>11</v>
      </c>
      <c r="B16" s="5" t="s">
        <v>31</v>
      </c>
      <c r="C16" s="39" t="s">
        <v>32</v>
      </c>
      <c r="D16" s="8">
        <v>16</v>
      </c>
      <c r="E16" s="8">
        <v>1500</v>
      </c>
      <c r="F16" s="8">
        <v>10210</v>
      </c>
      <c r="G16" s="5" t="s">
        <v>33</v>
      </c>
      <c r="H16" s="8">
        <v>1</v>
      </c>
      <c r="I16" s="40">
        <f t="shared" si="1"/>
        <v>1923.564</v>
      </c>
      <c r="J16" s="8" t="s">
        <v>12</v>
      </c>
      <c r="K16" s="33" t="s">
        <v>480</v>
      </c>
      <c r="L16" s="32"/>
    </row>
    <row r="17" ht="22.5" customHeight="1" spans="1:12">
      <c r="A17" s="5">
        <v>12</v>
      </c>
      <c r="B17" s="5" t="s">
        <v>31</v>
      </c>
      <c r="C17" s="39" t="s">
        <v>32</v>
      </c>
      <c r="D17" s="8">
        <v>16</v>
      </c>
      <c r="E17" s="8">
        <v>1500</v>
      </c>
      <c r="F17" s="8">
        <v>10410</v>
      </c>
      <c r="G17" s="5" t="s">
        <v>33</v>
      </c>
      <c r="H17" s="8">
        <v>1</v>
      </c>
      <c r="I17" s="40">
        <f t="shared" si="1"/>
        <v>1961.244</v>
      </c>
      <c r="J17" s="8" t="s">
        <v>34</v>
      </c>
      <c r="K17" s="33" t="s">
        <v>473</v>
      </c>
      <c r="L17" s="32"/>
    </row>
    <row r="18" ht="22.5" customHeight="1" spans="1:13">
      <c r="A18" s="5">
        <v>13</v>
      </c>
      <c r="B18" s="5" t="s">
        <v>31</v>
      </c>
      <c r="C18" s="39" t="s">
        <v>32</v>
      </c>
      <c r="D18" s="8">
        <v>16</v>
      </c>
      <c r="E18" s="8">
        <v>1800</v>
      </c>
      <c r="F18" s="8">
        <v>7770</v>
      </c>
      <c r="G18" s="5" t="s">
        <v>33</v>
      </c>
      <c r="H18" s="8">
        <v>3</v>
      </c>
      <c r="I18" s="40">
        <f t="shared" si="1"/>
        <v>5269.9248</v>
      </c>
      <c r="J18" s="8" t="s">
        <v>11</v>
      </c>
      <c r="K18" s="33" t="s">
        <v>474</v>
      </c>
      <c r="L18" s="33" t="s">
        <v>481</v>
      </c>
      <c r="M18" s="33" t="s">
        <v>482</v>
      </c>
    </row>
    <row r="19" ht="22.5" customHeight="1" spans="1:12">
      <c r="A19" s="5">
        <v>14</v>
      </c>
      <c r="B19" s="5" t="s">
        <v>31</v>
      </c>
      <c r="C19" s="39" t="s">
        <v>32</v>
      </c>
      <c r="D19" s="8">
        <v>16</v>
      </c>
      <c r="E19" s="8">
        <v>1800</v>
      </c>
      <c r="F19" s="8">
        <v>7780</v>
      </c>
      <c r="G19" s="5" t="s">
        <v>33</v>
      </c>
      <c r="H19" s="8">
        <v>1</v>
      </c>
      <c r="I19" s="40">
        <f t="shared" si="1"/>
        <v>1758.9024</v>
      </c>
      <c r="J19" s="8" t="s">
        <v>11</v>
      </c>
      <c r="K19" s="33" t="s">
        <v>483</v>
      </c>
      <c r="L19" s="32"/>
    </row>
    <row r="20" ht="22.5" customHeight="1" spans="1:14">
      <c r="A20" s="5">
        <v>15</v>
      </c>
      <c r="B20" s="5" t="s">
        <v>31</v>
      </c>
      <c r="C20" s="39" t="s">
        <v>32</v>
      </c>
      <c r="D20" s="8">
        <v>16</v>
      </c>
      <c r="E20" s="8">
        <v>1800</v>
      </c>
      <c r="F20" s="8">
        <v>7920</v>
      </c>
      <c r="G20" s="5" t="s">
        <v>33</v>
      </c>
      <c r="H20" s="8">
        <v>4</v>
      </c>
      <c r="I20" s="40">
        <f t="shared" si="1"/>
        <v>7162.2144</v>
      </c>
      <c r="J20" s="8" t="s">
        <v>11</v>
      </c>
      <c r="K20" s="33" t="s">
        <v>484</v>
      </c>
      <c r="L20" s="33" t="s">
        <v>485</v>
      </c>
      <c r="M20" s="33" t="s">
        <v>486</v>
      </c>
      <c r="N20" s="33" t="s">
        <v>487</v>
      </c>
    </row>
    <row r="21" ht="22.5" customHeight="1" spans="1:12">
      <c r="A21" s="5">
        <v>16</v>
      </c>
      <c r="B21" s="5" t="s">
        <v>31</v>
      </c>
      <c r="C21" s="39" t="s">
        <v>32</v>
      </c>
      <c r="D21" s="8">
        <v>16</v>
      </c>
      <c r="E21" s="8">
        <v>1800</v>
      </c>
      <c r="F21" s="8">
        <v>7940</v>
      </c>
      <c r="G21" s="5" t="s">
        <v>33</v>
      </c>
      <c r="H21" s="8">
        <v>1</v>
      </c>
      <c r="I21" s="40">
        <f t="shared" si="1"/>
        <v>1795.0752</v>
      </c>
      <c r="J21" s="8" t="s">
        <v>12</v>
      </c>
      <c r="K21" s="33" t="s">
        <v>488</v>
      </c>
      <c r="L21" s="32"/>
    </row>
    <row r="22" ht="22.5" customHeight="1" spans="1:12">
      <c r="A22" s="5">
        <v>17</v>
      </c>
      <c r="B22" s="5" t="s">
        <v>31</v>
      </c>
      <c r="C22" s="39" t="s">
        <v>32</v>
      </c>
      <c r="D22" s="8">
        <v>16</v>
      </c>
      <c r="E22" s="8">
        <v>1800</v>
      </c>
      <c r="F22" s="8">
        <v>8020</v>
      </c>
      <c r="G22" s="5" t="s">
        <v>33</v>
      </c>
      <c r="H22" s="8">
        <v>1</v>
      </c>
      <c r="I22" s="40">
        <f t="shared" si="1"/>
        <v>1813.1616</v>
      </c>
      <c r="J22" s="8" t="s">
        <v>12</v>
      </c>
      <c r="K22" s="32" t="s">
        <v>489</v>
      </c>
      <c r="L22" s="32"/>
    </row>
    <row r="23" ht="22.5" customHeight="1" spans="1:12">
      <c r="A23" s="5">
        <v>18</v>
      </c>
      <c r="B23" s="5" t="s">
        <v>31</v>
      </c>
      <c r="C23" s="39" t="s">
        <v>32</v>
      </c>
      <c r="D23" s="8">
        <v>16</v>
      </c>
      <c r="E23" s="8">
        <v>1800</v>
      </c>
      <c r="F23" s="8">
        <v>8100</v>
      </c>
      <c r="G23" s="5" t="s">
        <v>33</v>
      </c>
      <c r="H23" s="8">
        <v>2</v>
      </c>
      <c r="I23" s="40">
        <f t="shared" si="1"/>
        <v>3662.496</v>
      </c>
      <c r="J23" s="8" t="s">
        <v>490</v>
      </c>
      <c r="K23" s="33" t="s">
        <v>491</v>
      </c>
      <c r="L23" s="33" t="s">
        <v>492</v>
      </c>
    </row>
    <row r="24" ht="22.5" customHeight="1" spans="1:12">
      <c r="A24" s="5">
        <v>19</v>
      </c>
      <c r="B24" s="5" t="s">
        <v>31</v>
      </c>
      <c r="C24" s="39" t="s">
        <v>32</v>
      </c>
      <c r="D24" s="8">
        <v>16</v>
      </c>
      <c r="E24" s="8">
        <v>1800</v>
      </c>
      <c r="F24" s="8">
        <v>8160</v>
      </c>
      <c r="G24" s="5" t="s">
        <v>33</v>
      </c>
      <c r="H24" s="8">
        <v>1</v>
      </c>
      <c r="I24" s="40">
        <f t="shared" si="1"/>
        <v>1844.8128</v>
      </c>
      <c r="J24" s="8" t="s">
        <v>12</v>
      </c>
      <c r="K24" s="33" t="s">
        <v>493</v>
      </c>
      <c r="L24" s="32"/>
    </row>
    <row r="25" ht="22.5" customHeight="1" spans="1:12">
      <c r="A25" s="5">
        <v>20</v>
      </c>
      <c r="B25" s="5" t="s">
        <v>31</v>
      </c>
      <c r="C25" s="39" t="s">
        <v>32</v>
      </c>
      <c r="D25" s="8">
        <v>16</v>
      </c>
      <c r="E25" s="8">
        <v>1800</v>
      </c>
      <c r="F25" s="8">
        <v>8250</v>
      </c>
      <c r="G25" s="5" t="s">
        <v>33</v>
      </c>
      <c r="H25" s="8">
        <v>1</v>
      </c>
      <c r="I25" s="40">
        <f t="shared" si="1"/>
        <v>1865.16</v>
      </c>
      <c r="J25" s="8" t="s">
        <v>11</v>
      </c>
      <c r="K25" s="33" t="s">
        <v>494</v>
      </c>
      <c r="L25" s="32"/>
    </row>
    <row r="26" ht="22.5" customHeight="1" spans="1:12">
      <c r="A26" s="5">
        <v>21</v>
      </c>
      <c r="B26" s="5" t="s">
        <v>31</v>
      </c>
      <c r="C26" s="39" t="s">
        <v>32</v>
      </c>
      <c r="D26" s="8">
        <v>16</v>
      </c>
      <c r="E26" s="8">
        <v>1800</v>
      </c>
      <c r="F26" s="8">
        <v>8340</v>
      </c>
      <c r="G26" s="5" t="s">
        <v>33</v>
      </c>
      <c r="H26" s="8">
        <v>1</v>
      </c>
      <c r="I26" s="40">
        <f t="shared" si="1"/>
        <v>1885.5072</v>
      </c>
      <c r="J26" s="8" t="s">
        <v>12</v>
      </c>
      <c r="K26" s="33" t="s">
        <v>495</v>
      </c>
      <c r="L26" s="32"/>
    </row>
    <row r="27" ht="22.5" customHeight="1" spans="1:12">
      <c r="A27" s="5">
        <v>22</v>
      </c>
      <c r="B27" s="5" t="s">
        <v>31</v>
      </c>
      <c r="C27" s="39" t="s">
        <v>32</v>
      </c>
      <c r="D27" s="8">
        <v>16</v>
      </c>
      <c r="E27" s="8">
        <v>1800</v>
      </c>
      <c r="F27" s="8">
        <v>8360</v>
      </c>
      <c r="G27" s="5" t="s">
        <v>33</v>
      </c>
      <c r="H27" s="8">
        <v>1</v>
      </c>
      <c r="I27" s="40">
        <f t="shared" si="1"/>
        <v>1890.0288</v>
      </c>
      <c r="J27" s="8" t="s">
        <v>12</v>
      </c>
      <c r="K27" s="33" t="s">
        <v>496</v>
      </c>
      <c r="L27" s="32"/>
    </row>
    <row r="28" ht="22.5" customHeight="1" spans="1:12">
      <c r="A28" s="5">
        <v>23</v>
      </c>
      <c r="B28" s="5" t="s">
        <v>31</v>
      </c>
      <c r="C28" s="39" t="s">
        <v>32</v>
      </c>
      <c r="D28" s="8">
        <v>16</v>
      </c>
      <c r="E28" s="8">
        <v>1800</v>
      </c>
      <c r="F28" s="8">
        <v>8420</v>
      </c>
      <c r="G28" s="5" t="s">
        <v>33</v>
      </c>
      <c r="H28" s="8">
        <v>2</v>
      </c>
      <c r="I28" s="40">
        <f t="shared" si="1"/>
        <v>3807.1872</v>
      </c>
      <c r="J28" s="8" t="s">
        <v>497</v>
      </c>
      <c r="K28" s="33" t="s">
        <v>498</v>
      </c>
      <c r="L28" s="33" t="s">
        <v>499</v>
      </c>
    </row>
    <row r="29" ht="22.5" customHeight="1" spans="1:12">
      <c r="A29" s="5">
        <v>24</v>
      </c>
      <c r="B29" s="5" t="s">
        <v>31</v>
      </c>
      <c r="C29" s="39" t="s">
        <v>32</v>
      </c>
      <c r="D29" s="8">
        <v>16</v>
      </c>
      <c r="E29" s="8">
        <v>1800</v>
      </c>
      <c r="F29" s="8">
        <v>8440</v>
      </c>
      <c r="G29" s="5" t="s">
        <v>33</v>
      </c>
      <c r="H29" s="8">
        <v>1</v>
      </c>
      <c r="I29" s="40">
        <f t="shared" si="1"/>
        <v>1908.1152</v>
      </c>
      <c r="J29" s="8" t="s">
        <v>34</v>
      </c>
      <c r="K29" s="33" t="s">
        <v>500</v>
      </c>
      <c r="L29" s="32"/>
    </row>
    <row r="30" ht="22.5" customHeight="1" spans="1:12">
      <c r="A30" s="5">
        <v>25</v>
      </c>
      <c r="B30" s="5" t="s">
        <v>31</v>
      </c>
      <c r="C30" s="39" t="s">
        <v>32</v>
      </c>
      <c r="D30" s="8">
        <v>16</v>
      </c>
      <c r="E30" s="8">
        <v>1800</v>
      </c>
      <c r="F30" s="8">
        <v>8460</v>
      </c>
      <c r="G30" s="5" t="s">
        <v>33</v>
      </c>
      <c r="H30" s="8">
        <v>2</v>
      </c>
      <c r="I30" s="40">
        <f t="shared" si="1"/>
        <v>3825.2736</v>
      </c>
      <c r="J30" s="8" t="s">
        <v>34</v>
      </c>
      <c r="K30" s="33" t="s">
        <v>501</v>
      </c>
      <c r="L30" s="33" t="s">
        <v>502</v>
      </c>
    </row>
    <row r="31" ht="22.5" customHeight="1" spans="1:12">
      <c r="A31" s="5">
        <v>26</v>
      </c>
      <c r="B31" s="5" t="s">
        <v>31</v>
      </c>
      <c r="C31" s="39" t="s">
        <v>32</v>
      </c>
      <c r="D31" s="8">
        <v>16</v>
      </c>
      <c r="E31" s="8">
        <v>1800</v>
      </c>
      <c r="F31" s="8">
        <v>8470</v>
      </c>
      <c r="G31" s="5" t="s">
        <v>33</v>
      </c>
      <c r="H31" s="8">
        <v>1</v>
      </c>
      <c r="I31" s="40">
        <f t="shared" si="1"/>
        <v>1914.8976</v>
      </c>
      <c r="J31" s="8" t="s">
        <v>34</v>
      </c>
      <c r="K31" s="33" t="s">
        <v>503</v>
      </c>
      <c r="L31" s="32"/>
    </row>
    <row r="32" ht="22.5" customHeight="1" spans="1:12">
      <c r="A32" s="5">
        <v>27</v>
      </c>
      <c r="B32" s="5" t="s">
        <v>31</v>
      </c>
      <c r="C32" s="39" t="s">
        <v>32</v>
      </c>
      <c r="D32" s="8">
        <v>16</v>
      </c>
      <c r="E32" s="8">
        <v>1800</v>
      </c>
      <c r="F32" s="8">
        <v>8500</v>
      </c>
      <c r="G32" s="5" t="s">
        <v>33</v>
      </c>
      <c r="H32" s="8">
        <v>2</v>
      </c>
      <c r="I32" s="40">
        <f t="shared" si="1"/>
        <v>3843.36</v>
      </c>
      <c r="J32" s="8" t="s">
        <v>497</v>
      </c>
      <c r="K32" s="33" t="s">
        <v>504</v>
      </c>
      <c r="L32" s="33" t="s">
        <v>505</v>
      </c>
    </row>
    <row r="33" ht="22.5" customHeight="1" spans="1:12">
      <c r="A33" s="5">
        <v>28</v>
      </c>
      <c r="B33" s="5" t="s">
        <v>31</v>
      </c>
      <c r="C33" s="39" t="s">
        <v>32</v>
      </c>
      <c r="D33" s="8">
        <v>16</v>
      </c>
      <c r="E33" s="8">
        <v>1800</v>
      </c>
      <c r="F33" s="8">
        <v>8530</v>
      </c>
      <c r="G33" s="5" t="s">
        <v>33</v>
      </c>
      <c r="H33" s="8">
        <v>1</v>
      </c>
      <c r="I33" s="40">
        <f t="shared" si="1"/>
        <v>1928.4624</v>
      </c>
      <c r="J33" s="8" t="s">
        <v>12</v>
      </c>
      <c r="K33" s="33" t="s">
        <v>506</v>
      </c>
      <c r="L33" s="32"/>
    </row>
    <row r="34" ht="22.5" customHeight="1" spans="1:12">
      <c r="A34" s="5">
        <v>29</v>
      </c>
      <c r="B34" s="5" t="s">
        <v>31</v>
      </c>
      <c r="C34" s="39" t="s">
        <v>32</v>
      </c>
      <c r="D34" s="8">
        <v>16</v>
      </c>
      <c r="E34" s="8">
        <v>1800</v>
      </c>
      <c r="F34" s="8">
        <v>10410</v>
      </c>
      <c r="G34" s="5" t="s">
        <v>33</v>
      </c>
      <c r="H34" s="8">
        <v>1</v>
      </c>
      <c r="I34" s="40">
        <f t="shared" si="1"/>
        <v>2353.4928</v>
      </c>
      <c r="J34" s="8" t="s">
        <v>12</v>
      </c>
      <c r="K34" s="33" t="s">
        <v>507</v>
      </c>
      <c r="L34" s="32"/>
    </row>
    <row r="35" ht="22.5" customHeight="1" spans="1:12">
      <c r="A35" s="5">
        <v>30</v>
      </c>
      <c r="B35" s="5" t="s">
        <v>31</v>
      </c>
      <c r="C35" s="39" t="s">
        <v>32</v>
      </c>
      <c r="D35" s="8">
        <v>16</v>
      </c>
      <c r="E35" s="8">
        <v>2000</v>
      </c>
      <c r="F35" s="8">
        <v>7820</v>
      </c>
      <c r="G35" s="5" t="s">
        <v>33</v>
      </c>
      <c r="H35" s="8">
        <v>1</v>
      </c>
      <c r="I35" s="40">
        <f t="shared" si="1"/>
        <v>1964.384</v>
      </c>
      <c r="J35" s="8" t="s">
        <v>11</v>
      </c>
      <c r="K35" s="33" t="s">
        <v>508</v>
      </c>
      <c r="L35" s="32"/>
    </row>
    <row r="36" ht="22.5" customHeight="1" spans="1:12">
      <c r="A36" s="5">
        <v>31</v>
      </c>
      <c r="B36" s="5" t="s">
        <v>31</v>
      </c>
      <c r="C36" s="39" t="s">
        <v>32</v>
      </c>
      <c r="D36" s="8">
        <v>16</v>
      </c>
      <c r="E36" s="8">
        <v>2000</v>
      </c>
      <c r="F36" s="8">
        <v>7830</v>
      </c>
      <c r="G36" s="5" t="s">
        <v>33</v>
      </c>
      <c r="H36" s="8">
        <v>1</v>
      </c>
      <c r="I36" s="40">
        <f t="shared" si="1"/>
        <v>1966.896</v>
      </c>
      <c r="J36" s="8" t="s">
        <v>11</v>
      </c>
      <c r="K36" s="33" t="s">
        <v>509</v>
      </c>
      <c r="L36" s="32"/>
    </row>
    <row r="37" ht="22.5" customHeight="1" spans="1:14">
      <c r="A37" s="5">
        <v>32</v>
      </c>
      <c r="B37" s="5" t="s">
        <v>31</v>
      </c>
      <c r="C37" s="39" t="s">
        <v>32</v>
      </c>
      <c r="D37" s="8">
        <v>16</v>
      </c>
      <c r="E37" s="8">
        <v>2000</v>
      </c>
      <c r="F37" s="8">
        <v>10410</v>
      </c>
      <c r="G37" s="5" t="s">
        <v>33</v>
      </c>
      <c r="H37" s="8">
        <v>1</v>
      </c>
      <c r="I37" s="40">
        <f t="shared" si="1"/>
        <v>2614.992</v>
      </c>
      <c r="J37" s="8" t="s">
        <v>34</v>
      </c>
      <c r="K37" s="33" t="s">
        <v>510</v>
      </c>
      <c r="M37" s="32">
        <f>SUM(I10:I37)</f>
        <v>81410.78</v>
      </c>
      <c r="N37" s="32">
        <f>[12]Sheet2!$O$33</f>
        <v>81410.78</v>
      </c>
    </row>
    <row r="38" ht="22.5" customHeight="1" spans="1:12">
      <c r="A38" s="41" t="s">
        <v>40</v>
      </c>
      <c r="B38" s="42"/>
      <c r="C38" s="42"/>
      <c r="D38" s="42"/>
      <c r="E38" s="42"/>
      <c r="F38" s="42"/>
      <c r="G38" s="42"/>
      <c r="H38" s="43"/>
      <c r="I38" s="34">
        <f>SUM(I6:I37)</f>
        <v>87375.995</v>
      </c>
      <c r="J38" s="13"/>
      <c r="K38" s="32"/>
      <c r="L38" s="32"/>
    </row>
    <row r="39" ht="16.5" spans="1:10">
      <c r="A39" s="22" t="s">
        <v>41</v>
      </c>
      <c r="B39" s="22"/>
      <c r="C39" s="22"/>
      <c r="D39" s="22"/>
      <c r="E39" s="22"/>
      <c r="F39" s="22"/>
      <c r="G39" s="22"/>
      <c r="H39" s="22"/>
      <c r="I39" s="22"/>
      <c r="J39" s="22"/>
    </row>
    <row r="40" ht="22.5" customHeight="1" spans="1:12">
      <c r="A40" s="22" t="s">
        <v>401</v>
      </c>
      <c r="B40" s="22"/>
      <c r="C40" s="22"/>
      <c r="D40" s="22"/>
      <c r="E40" s="22"/>
      <c r="F40" s="22"/>
      <c r="G40" s="22"/>
      <c r="H40" s="22"/>
      <c r="I40" s="22"/>
      <c r="J40" s="22"/>
      <c r="K40">
        <f>[6]D桥估料表!$G$24</f>
        <v>125608.2077088</v>
      </c>
      <c r="L40">
        <v>125608.2077088</v>
      </c>
    </row>
    <row r="41" ht="16.5" spans="1:10">
      <c r="A41" s="16" t="s">
        <v>457</v>
      </c>
      <c r="B41" s="17"/>
      <c r="C41" s="17"/>
      <c r="D41" s="17"/>
      <c r="E41" s="17"/>
      <c r="F41" s="17"/>
      <c r="G41" s="17"/>
      <c r="H41" s="17"/>
      <c r="I41" s="17"/>
      <c r="J41" s="17"/>
    </row>
  </sheetData>
  <autoFilter ref="A5:J41">
    <extLst/>
  </autoFilter>
  <mergeCells count="7">
    <mergeCell ref="A1:J1"/>
    <mergeCell ref="A2:J2"/>
    <mergeCell ref="A3:F3"/>
    <mergeCell ref="A38:H38"/>
    <mergeCell ref="A39:J39"/>
    <mergeCell ref="A40:J40"/>
    <mergeCell ref="A41:J41"/>
  </mergeCells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9"/>
  <dimension ref="A1:T48"/>
  <sheetViews>
    <sheetView workbookViewId="0">
      <selection activeCell="J49" sqref="A1:J49"/>
    </sheetView>
  </sheetViews>
  <sheetFormatPr defaultColWidth="9" defaultRowHeight="13.5"/>
  <cols>
    <col min="1" max="1" width="6.375" customWidth="1"/>
    <col min="2" max="2" width="7.625" customWidth="1"/>
    <col min="3" max="3" width="10.3416666666667" customWidth="1"/>
    <col min="4" max="4" width="8.125" customWidth="1"/>
    <col min="5" max="5" width="11.0083333333333" customWidth="1"/>
    <col min="6" max="6" width="9.75" customWidth="1"/>
    <col min="7" max="7" width="6.875" customWidth="1"/>
    <col min="8" max="8" width="6.75" customWidth="1"/>
    <col min="9" max="9" width="11" style="14" customWidth="1"/>
    <col min="10" max="10" width="10.0083333333333" customWidth="1"/>
    <col min="11" max="12" width="15.3416666666667" hidden="1" customWidth="1"/>
    <col min="13" max="13" width="10.175" hidden="1" customWidth="1"/>
    <col min="14" max="14" width="6.24166666666667" hidden="1" customWidth="1"/>
    <col min="15" max="22" width="9" hidden="1" customWidth="1"/>
  </cols>
  <sheetData>
    <row r="1" ht="28.5" customHeight="1" spans="1:14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  <c r="K1" s="24"/>
      <c r="L1" s="24"/>
      <c r="M1" s="24"/>
      <c r="N1" s="24"/>
    </row>
    <row r="2" ht="28.5" customHeight="1" spans="1:14">
      <c r="A2" s="15" t="s">
        <v>20</v>
      </c>
      <c r="B2" s="15"/>
      <c r="C2" s="15"/>
      <c r="D2" s="15"/>
      <c r="E2" s="15"/>
      <c r="F2" s="15"/>
      <c r="G2" s="15"/>
      <c r="H2" s="15"/>
      <c r="I2" s="23"/>
      <c r="J2" s="15"/>
      <c r="K2" s="24"/>
      <c r="L2" s="24"/>
      <c r="M2" s="24"/>
      <c r="N2" s="24"/>
    </row>
    <row r="3" ht="22.5" customHeight="1" spans="1:14">
      <c r="A3" s="16" t="s">
        <v>21</v>
      </c>
      <c r="B3" s="17"/>
      <c r="C3" s="17"/>
      <c r="D3" s="17"/>
      <c r="E3" s="17"/>
      <c r="F3" s="17"/>
      <c r="G3" s="17"/>
      <c r="H3" s="17"/>
      <c r="I3" s="25"/>
      <c r="J3" s="26"/>
      <c r="K3" s="27"/>
      <c r="L3" s="27"/>
      <c r="M3" s="27"/>
      <c r="N3" s="27"/>
    </row>
    <row r="4" ht="22.5" customHeight="1" spans="1:14">
      <c r="A4" s="18" t="s">
        <v>511</v>
      </c>
      <c r="B4" s="19"/>
      <c r="C4" s="19"/>
      <c r="D4" s="17"/>
      <c r="E4" s="19"/>
      <c r="F4" s="19"/>
      <c r="G4" s="17"/>
      <c r="H4" s="17"/>
      <c r="I4" s="28"/>
      <c r="J4" s="26"/>
      <c r="K4" s="27"/>
      <c r="L4" s="27"/>
      <c r="M4" s="27"/>
      <c r="N4" s="27"/>
    </row>
    <row r="5" ht="22.5" customHeight="1" spans="1:14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29" t="s">
        <v>29</v>
      </c>
      <c r="J5" s="11" t="s">
        <v>30</v>
      </c>
      <c r="K5" s="30"/>
      <c r="L5" s="30"/>
      <c r="M5" s="30"/>
      <c r="N5" s="30"/>
    </row>
    <row r="6" ht="22.5" customHeight="1" spans="1:14">
      <c r="A6" s="20">
        <v>1</v>
      </c>
      <c r="B6" s="20" t="s">
        <v>31</v>
      </c>
      <c r="C6" s="21" t="s">
        <v>32</v>
      </c>
      <c r="D6" s="35">
        <v>12</v>
      </c>
      <c r="E6" s="35">
        <v>1500</v>
      </c>
      <c r="F6" s="35">
        <v>11410</v>
      </c>
      <c r="G6" s="20" t="s">
        <v>33</v>
      </c>
      <c r="H6" s="35">
        <v>1</v>
      </c>
      <c r="I6" s="36">
        <f>H6*F6*E6*D6*7.85/1000000</f>
        <v>1612.233</v>
      </c>
      <c r="J6" s="38" t="s">
        <v>234</v>
      </c>
      <c r="K6" s="37" t="s">
        <v>512</v>
      </c>
      <c r="L6" s="8">
        <v>1</v>
      </c>
      <c r="M6" s="32"/>
      <c r="N6" s="32"/>
    </row>
    <row r="7" ht="22.5" customHeight="1" spans="1:14">
      <c r="A7" s="20">
        <v>2</v>
      </c>
      <c r="B7" s="20" t="s">
        <v>31</v>
      </c>
      <c r="C7" s="21" t="s">
        <v>32</v>
      </c>
      <c r="D7" s="35">
        <v>12</v>
      </c>
      <c r="E7" s="35">
        <v>1500</v>
      </c>
      <c r="F7" s="35">
        <v>12320</v>
      </c>
      <c r="G7" s="20" t="s">
        <v>33</v>
      </c>
      <c r="H7" s="35">
        <v>1</v>
      </c>
      <c r="I7" s="36">
        <f>H7*F7*E7*D7*7.85/1000000</f>
        <v>1740.816</v>
      </c>
      <c r="J7" s="35" t="s">
        <v>17</v>
      </c>
      <c r="K7" s="37" t="s">
        <v>513</v>
      </c>
      <c r="L7" s="8">
        <v>1</v>
      </c>
      <c r="M7" s="32"/>
      <c r="N7" s="32"/>
    </row>
    <row r="8" ht="22.5" customHeight="1" spans="1:14">
      <c r="A8" s="20">
        <v>3</v>
      </c>
      <c r="B8" s="20" t="s">
        <v>31</v>
      </c>
      <c r="C8" s="21" t="s">
        <v>32</v>
      </c>
      <c r="D8" s="35">
        <v>12</v>
      </c>
      <c r="E8" s="35">
        <f>1960+40</f>
        <v>2000</v>
      </c>
      <c r="F8" s="35">
        <v>10020</v>
      </c>
      <c r="G8" s="20" t="s">
        <v>33</v>
      </c>
      <c r="H8" s="35">
        <v>2</v>
      </c>
      <c r="I8" s="36">
        <f>H8*F8*E8*D8*7.85/1000000</f>
        <v>3775.536</v>
      </c>
      <c r="J8" s="35" t="s">
        <v>16</v>
      </c>
      <c r="K8" s="37" t="s">
        <v>514</v>
      </c>
      <c r="L8" s="8">
        <v>1</v>
      </c>
      <c r="M8" s="8" t="s">
        <v>515</v>
      </c>
      <c r="N8" s="8">
        <v>1</v>
      </c>
    </row>
    <row r="9" ht="22.5" customHeight="1" spans="1:15">
      <c r="A9" s="20">
        <v>4</v>
      </c>
      <c r="B9" s="20" t="s">
        <v>31</v>
      </c>
      <c r="C9" s="21" t="s">
        <v>32</v>
      </c>
      <c r="D9" s="8">
        <v>16</v>
      </c>
      <c r="E9" s="8">
        <v>1500</v>
      </c>
      <c r="F9" s="8">
        <v>7090</v>
      </c>
      <c r="G9" s="20" t="s">
        <v>33</v>
      </c>
      <c r="H9" s="8">
        <v>1</v>
      </c>
      <c r="I9" s="36">
        <f t="shared" ref="I9:I44" si="0">H9*F9*E9*D9*7.85/1000000</f>
        <v>1335.756</v>
      </c>
      <c r="J9" s="8" t="s">
        <v>34</v>
      </c>
      <c r="K9" s="32"/>
      <c r="L9" s="32"/>
      <c r="M9" s="32"/>
      <c r="N9" s="32"/>
      <c r="O9" s="33" t="s">
        <v>516</v>
      </c>
    </row>
    <row r="10" ht="22.5" customHeight="1" spans="1:15">
      <c r="A10" s="20">
        <v>5</v>
      </c>
      <c r="B10" s="20" t="s">
        <v>31</v>
      </c>
      <c r="C10" s="21" t="s">
        <v>32</v>
      </c>
      <c r="D10" s="8">
        <v>16</v>
      </c>
      <c r="E10" s="8">
        <v>1500</v>
      </c>
      <c r="F10" s="8">
        <v>7500</v>
      </c>
      <c r="G10" s="20" t="s">
        <v>33</v>
      </c>
      <c r="H10" s="8">
        <v>1</v>
      </c>
      <c r="I10" s="36">
        <f t="shared" si="0"/>
        <v>1413</v>
      </c>
      <c r="J10" s="8" t="s">
        <v>34</v>
      </c>
      <c r="K10" s="32"/>
      <c r="L10" s="32"/>
      <c r="M10" s="32"/>
      <c r="N10" s="32"/>
      <c r="O10" s="33" t="s">
        <v>517</v>
      </c>
    </row>
    <row r="11" ht="22.5" customHeight="1" spans="1:15">
      <c r="A11" s="20">
        <v>6</v>
      </c>
      <c r="B11" s="20" t="s">
        <v>31</v>
      </c>
      <c r="C11" s="21" t="s">
        <v>32</v>
      </c>
      <c r="D11" s="8">
        <v>16</v>
      </c>
      <c r="E11" s="8">
        <v>1500</v>
      </c>
      <c r="F11" s="8">
        <v>10100</v>
      </c>
      <c r="G11" s="20" t="s">
        <v>33</v>
      </c>
      <c r="H11" s="8">
        <v>1</v>
      </c>
      <c r="I11" s="36">
        <f t="shared" si="0"/>
        <v>1902.84</v>
      </c>
      <c r="J11" s="8" t="s">
        <v>34</v>
      </c>
      <c r="K11" s="32"/>
      <c r="L11" s="32"/>
      <c r="M11" s="32"/>
      <c r="N11" s="32"/>
      <c r="O11" s="33" t="s">
        <v>518</v>
      </c>
    </row>
    <row r="12" ht="22.5" customHeight="1" spans="1:15">
      <c r="A12" s="20">
        <v>7</v>
      </c>
      <c r="B12" s="20" t="s">
        <v>31</v>
      </c>
      <c r="C12" s="21" t="s">
        <v>32</v>
      </c>
      <c r="D12" s="8">
        <v>16</v>
      </c>
      <c r="E12" s="8">
        <v>1800</v>
      </c>
      <c r="F12" s="8">
        <v>6120</v>
      </c>
      <c r="G12" s="20" t="s">
        <v>33</v>
      </c>
      <c r="H12" s="8">
        <v>1</v>
      </c>
      <c r="I12" s="36">
        <f t="shared" si="0"/>
        <v>1383.6096</v>
      </c>
      <c r="J12" s="8" t="s">
        <v>34</v>
      </c>
      <c r="K12" s="32"/>
      <c r="L12" s="32"/>
      <c r="M12" s="32"/>
      <c r="N12" s="32"/>
      <c r="O12" s="33" t="s">
        <v>519</v>
      </c>
    </row>
    <row r="13" ht="22.5" customHeight="1" spans="1:15">
      <c r="A13" s="20">
        <v>8</v>
      </c>
      <c r="B13" s="20" t="s">
        <v>31</v>
      </c>
      <c r="C13" s="21" t="s">
        <v>32</v>
      </c>
      <c r="D13" s="8">
        <v>16</v>
      </c>
      <c r="E13" s="8">
        <v>1800</v>
      </c>
      <c r="F13" s="8">
        <v>6410</v>
      </c>
      <c r="G13" s="20" t="s">
        <v>33</v>
      </c>
      <c r="H13" s="8">
        <v>1</v>
      </c>
      <c r="I13" s="36">
        <f t="shared" si="0"/>
        <v>1449.1728</v>
      </c>
      <c r="J13" s="8" t="s">
        <v>11</v>
      </c>
      <c r="K13" s="32"/>
      <c r="L13" s="32"/>
      <c r="M13" s="32"/>
      <c r="N13" s="32"/>
      <c r="O13" s="33" t="s">
        <v>520</v>
      </c>
    </row>
    <row r="14" ht="22.5" customHeight="1" spans="1:15">
      <c r="A14" s="20">
        <v>9</v>
      </c>
      <c r="B14" s="20" t="s">
        <v>31</v>
      </c>
      <c r="C14" s="21" t="s">
        <v>32</v>
      </c>
      <c r="D14" s="8">
        <v>16</v>
      </c>
      <c r="E14" s="8">
        <v>1800</v>
      </c>
      <c r="F14" s="8">
        <v>6470</v>
      </c>
      <c r="G14" s="20" t="s">
        <v>33</v>
      </c>
      <c r="H14" s="8">
        <v>1</v>
      </c>
      <c r="I14" s="36">
        <f t="shared" si="0"/>
        <v>1462.7376</v>
      </c>
      <c r="J14" s="8" t="s">
        <v>11</v>
      </c>
      <c r="K14" s="32"/>
      <c r="L14" s="32"/>
      <c r="M14" s="32"/>
      <c r="N14" s="32"/>
      <c r="O14" s="33" t="s">
        <v>521</v>
      </c>
    </row>
    <row r="15" ht="22.5" customHeight="1" spans="1:15">
      <c r="A15" s="20">
        <v>10</v>
      </c>
      <c r="B15" s="20" t="s">
        <v>31</v>
      </c>
      <c r="C15" s="21" t="s">
        <v>32</v>
      </c>
      <c r="D15" s="8">
        <v>16</v>
      </c>
      <c r="E15" s="8">
        <v>1800</v>
      </c>
      <c r="F15" s="8">
        <v>6710</v>
      </c>
      <c r="G15" s="20" t="s">
        <v>33</v>
      </c>
      <c r="H15" s="8">
        <v>1</v>
      </c>
      <c r="I15" s="36">
        <f t="shared" si="0"/>
        <v>1516.9968</v>
      </c>
      <c r="J15" s="8" t="s">
        <v>12</v>
      </c>
      <c r="K15" s="32"/>
      <c r="L15" s="32"/>
      <c r="M15" s="32"/>
      <c r="N15" s="32"/>
      <c r="O15" s="33" t="s">
        <v>522</v>
      </c>
    </row>
    <row r="16" ht="22.5" customHeight="1" spans="1:15">
      <c r="A16" s="20">
        <v>11</v>
      </c>
      <c r="B16" s="20" t="s">
        <v>31</v>
      </c>
      <c r="C16" s="21" t="s">
        <v>32</v>
      </c>
      <c r="D16" s="8">
        <v>16</v>
      </c>
      <c r="E16" s="8">
        <v>1800</v>
      </c>
      <c r="F16" s="8">
        <v>7050</v>
      </c>
      <c r="G16" s="20" t="s">
        <v>33</v>
      </c>
      <c r="H16" s="8">
        <v>1</v>
      </c>
      <c r="I16" s="36">
        <f t="shared" si="0"/>
        <v>1593.864</v>
      </c>
      <c r="J16" s="8" t="s">
        <v>34</v>
      </c>
      <c r="K16" s="32"/>
      <c r="L16" s="32"/>
      <c r="M16" s="32"/>
      <c r="N16" s="32"/>
      <c r="O16" s="33" t="s">
        <v>523</v>
      </c>
    </row>
    <row r="17" ht="22.5" customHeight="1" spans="1:15">
      <c r="A17" s="20">
        <v>12</v>
      </c>
      <c r="B17" s="20" t="s">
        <v>31</v>
      </c>
      <c r="C17" s="21" t="s">
        <v>32</v>
      </c>
      <c r="D17" s="8">
        <v>16</v>
      </c>
      <c r="E17" s="8">
        <v>1800</v>
      </c>
      <c r="F17" s="8">
        <v>7060</v>
      </c>
      <c r="G17" s="20" t="s">
        <v>33</v>
      </c>
      <c r="H17" s="8">
        <v>1</v>
      </c>
      <c r="I17" s="36">
        <f t="shared" si="0"/>
        <v>1596.1248</v>
      </c>
      <c r="J17" s="8" t="s">
        <v>34</v>
      </c>
      <c r="K17" s="32"/>
      <c r="L17" s="32"/>
      <c r="M17" s="32"/>
      <c r="N17" s="32"/>
      <c r="O17" s="33" t="s">
        <v>524</v>
      </c>
    </row>
    <row r="18" ht="22.5" customHeight="1" spans="1:15">
      <c r="A18" s="20">
        <v>13</v>
      </c>
      <c r="B18" s="20" t="s">
        <v>31</v>
      </c>
      <c r="C18" s="21" t="s">
        <v>32</v>
      </c>
      <c r="D18" s="8">
        <v>16</v>
      </c>
      <c r="E18" s="8">
        <v>1800</v>
      </c>
      <c r="F18" s="8">
        <v>7110</v>
      </c>
      <c r="G18" s="20" t="s">
        <v>33</v>
      </c>
      <c r="H18" s="8">
        <v>1</v>
      </c>
      <c r="I18" s="36">
        <f t="shared" si="0"/>
        <v>1607.4288</v>
      </c>
      <c r="J18" s="8" t="s">
        <v>12</v>
      </c>
      <c r="K18" s="32"/>
      <c r="L18" s="32"/>
      <c r="M18" s="32"/>
      <c r="N18" s="32"/>
      <c r="O18" s="33" t="s">
        <v>525</v>
      </c>
    </row>
    <row r="19" ht="22.5" customHeight="1" spans="1:15">
      <c r="A19" s="20">
        <v>14</v>
      </c>
      <c r="B19" s="20" t="s">
        <v>31</v>
      </c>
      <c r="C19" s="21" t="s">
        <v>32</v>
      </c>
      <c r="D19" s="8">
        <v>16</v>
      </c>
      <c r="E19" s="8">
        <v>1800</v>
      </c>
      <c r="F19" s="8">
        <v>7150</v>
      </c>
      <c r="G19" s="20" t="s">
        <v>33</v>
      </c>
      <c r="H19" s="8">
        <v>1</v>
      </c>
      <c r="I19" s="36">
        <f t="shared" si="0"/>
        <v>1616.472</v>
      </c>
      <c r="J19" s="8" t="s">
        <v>11</v>
      </c>
      <c r="K19" s="32"/>
      <c r="L19" s="32"/>
      <c r="M19" s="32"/>
      <c r="N19" s="32"/>
      <c r="O19" s="33" t="s">
        <v>526</v>
      </c>
    </row>
    <row r="20" ht="22.5" customHeight="1" spans="1:15">
      <c r="A20" s="20">
        <v>15</v>
      </c>
      <c r="B20" s="20" t="s">
        <v>31</v>
      </c>
      <c r="C20" s="21" t="s">
        <v>32</v>
      </c>
      <c r="D20" s="8">
        <v>16</v>
      </c>
      <c r="E20" s="8">
        <v>1800</v>
      </c>
      <c r="F20" s="8">
        <v>7230</v>
      </c>
      <c r="G20" s="20" t="s">
        <v>33</v>
      </c>
      <c r="H20" s="8">
        <v>1</v>
      </c>
      <c r="I20" s="36">
        <f t="shared" si="0"/>
        <v>1634.5584</v>
      </c>
      <c r="J20" s="8" t="s">
        <v>11</v>
      </c>
      <c r="K20" s="32"/>
      <c r="L20" s="32"/>
      <c r="M20" s="32"/>
      <c r="N20" s="32"/>
      <c r="O20" s="33" t="s">
        <v>527</v>
      </c>
    </row>
    <row r="21" ht="22.5" customHeight="1" spans="1:20">
      <c r="A21" s="20">
        <v>16</v>
      </c>
      <c r="B21" s="20" t="s">
        <v>31</v>
      </c>
      <c r="C21" s="21" t="s">
        <v>32</v>
      </c>
      <c r="D21" s="8">
        <v>16</v>
      </c>
      <c r="E21" s="8">
        <v>1800</v>
      </c>
      <c r="F21" s="8">
        <v>7390</v>
      </c>
      <c r="G21" s="20" t="s">
        <v>33</v>
      </c>
      <c r="H21" s="8">
        <v>6</v>
      </c>
      <c r="I21" s="36">
        <f t="shared" si="0"/>
        <v>10024.3872</v>
      </c>
      <c r="J21" s="8" t="s">
        <v>11</v>
      </c>
      <c r="K21" s="32"/>
      <c r="L21" s="32"/>
      <c r="M21" s="32"/>
      <c r="N21" s="32"/>
      <c r="O21" s="33" t="s">
        <v>528</v>
      </c>
      <c r="P21" s="33" t="s">
        <v>529</v>
      </c>
      <c r="Q21" s="33" t="s">
        <v>530</v>
      </c>
      <c r="R21" s="33" t="s">
        <v>531</v>
      </c>
      <c r="S21" s="33" t="s">
        <v>532</v>
      </c>
      <c r="T21" s="33" t="s">
        <v>533</v>
      </c>
    </row>
    <row r="22" ht="22.5" customHeight="1" spans="1:15">
      <c r="A22" s="20">
        <v>17</v>
      </c>
      <c r="B22" s="20" t="s">
        <v>31</v>
      </c>
      <c r="C22" s="21" t="s">
        <v>32</v>
      </c>
      <c r="D22" s="8">
        <v>16</v>
      </c>
      <c r="E22" s="8">
        <v>1800</v>
      </c>
      <c r="F22" s="8">
        <v>7430</v>
      </c>
      <c r="G22" s="20" t="s">
        <v>33</v>
      </c>
      <c r="H22" s="8">
        <v>1</v>
      </c>
      <c r="I22" s="36">
        <f t="shared" si="0"/>
        <v>1679.7744</v>
      </c>
      <c r="J22" s="8" t="s">
        <v>12</v>
      </c>
      <c r="K22" s="32"/>
      <c r="L22" s="32"/>
      <c r="M22" s="32"/>
      <c r="N22" s="32"/>
      <c r="O22" s="33" t="s">
        <v>534</v>
      </c>
    </row>
    <row r="23" ht="22.5" customHeight="1" spans="1:15">
      <c r="A23" s="20">
        <v>18</v>
      </c>
      <c r="B23" s="20" t="s">
        <v>31</v>
      </c>
      <c r="C23" s="21" t="s">
        <v>32</v>
      </c>
      <c r="D23" s="8">
        <v>16</v>
      </c>
      <c r="E23" s="8">
        <v>1800</v>
      </c>
      <c r="F23" s="8">
        <v>7480</v>
      </c>
      <c r="G23" s="20" t="s">
        <v>33</v>
      </c>
      <c r="H23" s="8">
        <v>1</v>
      </c>
      <c r="I23" s="36">
        <f t="shared" si="0"/>
        <v>1691.0784</v>
      </c>
      <c r="J23" s="8" t="s">
        <v>34</v>
      </c>
      <c r="K23" s="32"/>
      <c r="L23" s="32"/>
      <c r="M23" s="32"/>
      <c r="N23" s="32"/>
      <c r="O23" s="33" t="s">
        <v>535</v>
      </c>
    </row>
    <row r="24" ht="22.5" customHeight="1" spans="1:16">
      <c r="A24" s="20">
        <v>19</v>
      </c>
      <c r="B24" s="20" t="s">
        <v>31</v>
      </c>
      <c r="C24" s="21" t="s">
        <v>32</v>
      </c>
      <c r="D24" s="8">
        <v>16</v>
      </c>
      <c r="E24" s="8">
        <v>1800</v>
      </c>
      <c r="F24" s="8">
        <v>7510</v>
      </c>
      <c r="G24" s="20" t="s">
        <v>33</v>
      </c>
      <c r="H24" s="8">
        <v>2</v>
      </c>
      <c r="I24" s="36">
        <f t="shared" si="0"/>
        <v>3395.7216</v>
      </c>
      <c r="J24" s="8" t="s">
        <v>12</v>
      </c>
      <c r="K24" s="32"/>
      <c r="L24" s="32"/>
      <c r="M24" s="32"/>
      <c r="N24" s="32"/>
      <c r="O24" s="33" t="s">
        <v>536</v>
      </c>
      <c r="P24" s="33" t="s">
        <v>537</v>
      </c>
    </row>
    <row r="25" ht="22.5" customHeight="1" spans="1:20">
      <c r="A25" s="20">
        <v>20</v>
      </c>
      <c r="B25" s="20" t="s">
        <v>31</v>
      </c>
      <c r="C25" s="21" t="s">
        <v>32</v>
      </c>
      <c r="D25" s="8">
        <v>16</v>
      </c>
      <c r="E25" s="8">
        <v>1800</v>
      </c>
      <c r="F25" s="8">
        <v>7660</v>
      </c>
      <c r="G25" s="20" t="s">
        <v>33</v>
      </c>
      <c r="H25" s="8">
        <v>6</v>
      </c>
      <c r="I25" s="36">
        <f t="shared" si="0"/>
        <v>10390.6368</v>
      </c>
      <c r="J25" s="8" t="s">
        <v>11</v>
      </c>
      <c r="K25" s="32"/>
      <c r="L25" s="32"/>
      <c r="M25" s="32"/>
      <c r="N25" s="32"/>
      <c r="O25" s="33" t="s">
        <v>538</v>
      </c>
      <c r="P25" s="33" t="s">
        <v>539</v>
      </c>
      <c r="Q25" s="33" t="s">
        <v>540</v>
      </c>
      <c r="R25" s="33" t="s">
        <v>541</v>
      </c>
      <c r="S25" s="33" t="s">
        <v>542</v>
      </c>
      <c r="T25" s="33" t="s">
        <v>543</v>
      </c>
    </row>
    <row r="26" ht="22.5" customHeight="1" spans="1:15">
      <c r="A26" s="20">
        <v>21</v>
      </c>
      <c r="B26" s="20" t="s">
        <v>31</v>
      </c>
      <c r="C26" s="21" t="s">
        <v>32</v>
      </c>
      <c r="D26" s="8">
        <v>16</v>
      </c>
      <c r="E26" s="8">
        <v>1800</v>
      </c>
      <c r="F26" s="8">
        <v>7820</v>
      </c>
      <c r="G26" s="20" t="s">
        <v>33</v>
      </c>
      <c r="H26" s="8">
        <v>1</v>
      </c>
      <c r="I26" s="36">
        <f t="shared" si="0"/>
        <v>1767.9456</v>
      </c>
      <c r="J26" s="8" t="s">
        <v>12</v>
      </c>
      <c r="K26" s="32"/>
      <c r="L26" s="32"/>
      <c r="M26" s="32"/>
      <c r="N26" s="32"/>
      <c r="O26" s="33" t="s">
        <v>544</v>
      </c>
    </row>
    <row r="27" ht="22.5" customHeight="1" spans="1:15">
      <c r="A27" s="20">
        <v>22</v>
      </c>
      <c r="B27" s="20" t="s">
        <v>31</v>
      </c>
      <c r="C27" s="21" t="s">
        <v>32</v>
      </c>
      <c r="D27" s="8">
        <v>16</v>
      </c>
      <c r="E27" s="8">
        <v>1800</v>
      </c>
      <c r="F27" s="8">
        <v>7830</v>
      </c>
      <c r="G27" s="20" t="s">
        <v>33</v>
      </c>
      <c r="H27" s="8">
        <v>1</v>
      </c>
      <c r="I27" s="36">
        <f t="shared" si="0"/>
        <v>1770.2064</v>
      </c>
      <c r="J27" s="8" t="s">
        <v>12</v>
      </c>
      <c r="K27" s="32"/>
      <c r="L27" s="32"/>
      <c r="M27" s="32"/>
      <c r="N27" s="32"/>
      <c r="O27" s="33" t="s">
        <v>545</v>
      </c>
    </row>
    <row r="28" ht="22.5" customHeight="1" spans="1:16">
      <c r="A28" s="20">
        <v>23</v>
      </c>
      <c r="B28" s="20" t="s">
        <v>31</v>
      </c>
      <c r="C28" s="21" t="s">
        <v>32</v>
      </c>
      <c r="D28" s="8">
        <v>16</v>
      </c>
      <c r="E28" s="8">
        <v>1800</v>
      </c>
      <c r="F28" s="8">
        <v>7910</v>
      </c>
      <c r="G28" s="20" t="s">
        <v>33</v>
      </c>
      <c r="H28" s="8">
        <v>2</v>
      </c>
      <c r="I28" s="36">
        <f t="shared" si="0"/>
        <v>3576.5856</v>
      </c>
      <c r="J28" s="8" t="s">
        <v>12</v>
      </c>
      <c r="K28" s="32"/>
      <c r="L28" s="32"/>
      <c r="M28" s="32"/>
      <c r="N28" s="32"/>
      <c r="O28" s="33" t="s">
        <v>546</v>
      </c>
      <c r="P28" s="33" t="s">
        <v>547</v>
      </c>
    </row>
    <row r="29" ht="22.5" customHeight="1" spans="1:17">
      <c r="A29" s="20">
        <v>24</v>
      </c>
      <c r="B29" s="20" t="s">
        <v>31</v>
      </c>
      <c r="C29" s="21" t="s">
        <v>32</v>
      </c>
      <c r="D29" s="8">
        <v>16</v>
      </c>
      <c r="E29" s="8">
        <v>1800</v>
      </c>
      <c r="F29" s="8">
        <v>8090</v>
      </c>
      <c r="G29" s="20" t="s">
        <v>33</v>
      </c>
      <c r="H29" s="8">
        <v>3</v>
      </c>
      <c r="I29" s="36">
        <f t="shared" si="0"/>
        <v>5486.9616</v>
      </c>
      <c r="J29" s="8" t="s">
        <v>34</v>
      </c>
      <c r="K29" s="32"/>
      <c r="L29" s="32"/>
      <c r="M29" s="32"/>
      <c r="N29" s="32"/>
      <c r="O29" s="33" t="s">
        <v>548</v>
      </c>
      <c r="P29" s="33" t="s">
        <v>549</v>
      </c>
      <c r="Q29" s="33" t="s">
        <v>550</v>
      </c>
    </row>
    <row r="30" ht="22.5" customHeight="1" spans="1:20">
      <c r="A30" s="20">
        <v>25</v>
      </c>
      <c r="B30" s="20" t="s">
        <v>31</v>
      </c>
      <c r="C30" s="21" t="s">
        <v>32</v>
      </c>
      <c r="D30" s="8">
        <v>16</v>
      </c>
      <c r="E30" s="8">
        <v>1800</v>
      </c>
      <c r="F30" s="8">
        <v>8160</v>
      </c>
      <c r="G30" s="20" t="s">
        <v>33</v>
      </c>
      <c r="H30" s="8">
        <v>6</v>
      </c>
      <c r="I30" s="36">
        <f t="shared" si="0"/>
        <v>11068.8768</v>
      </c>
      <c r="J30" s="8" t="s">
        <v>34</v>
      </c>
      <c r="K30" s="32"/>
      <c r="L30" s="32"/>
      <c r="M30" s="32"/>
      <c r="N30" s="32"/>
      <c r="O30" s="33" t="s">
        <v>551</v>
      </c>
      <c r="P30" s="33" t="s">
        <v>552</v>
      </c>
      <c r="Q30" s="33" t="s">
        <v>553</v>
      </c>
      <c r="R30" s="33" t="s">
        <v>554</v>
      </c>
      <c r="S30" s="33" t="s">
        <v>555</v>
      </c>
      <c r="T30" s="33" t="s">
        <v>556</v>
      </c>
    </row>
    <row r="31" ht="22.5" customHeight="1" spans="1:16">
      <c r="A31" s="20">
        <v>26</v>
      </c>
      <c r="B31" s="20" t="s">
        <v>31</v>
      </c>
      <c r="C31" s="21" t="s">
        <v>32</v>
      </c>
      <c r="D31" s="8">
        <v>16</v>
      </c>
      <c r="E31" s="8">
        <v>1800</v>
      </c>
      <c r="F31" s="8">
        <v>8220</v>
      </c>
      <c r="G31" s="20" t="s">
        <v>33</v>
      </c>
      <c r="H31" s="8">
        <v>2</v>
      </c>
      <c r="I31" s="36">
        <f t="shared" si="0"/>
        <v>3716.7552</v>
      </c>
      <c r="J31" s="8" t="s">
        <v>12</v>
      </c>
      <c r="K31" s="32"/>
      <c r="L31" s="32"/>
      <c r="M31" s="32"/>
      <c r="N31" s="32"/>
      <c r="O31" s="33" t="s">
        <v>557</v>
      </c>
      <c r="P31" s="33" t="s">
        <v>558</v>
      </c>
    </row>
    <row r="32" ht="22.5" customHeight="1" spans="1:15">
      <c r="A32" s="20">
        <v>27</v>
      </c>
      <c r="B32" s="20" t="s">
        <v>31</v>
      </c>
      <c r="C32" s="21" t="s">
        <v>32</v>
      </c>
      <c r="D32" s="8">
        <v>16</v>
      </c>
      <c r="E32" s="8">
        <v>1800</v>
      </c>
      <c r="F32" s="8">
        <v>8400</v>
      </c>
      <c r="G32" s="20" t="s">
        <v>33</v>
      </c>
      <c r="H32" s="8">
        <v>1</v>
      </c>
      <c r="I32" s="36">
        <f t="shared" si="0"/>
        <v>1899.072</v>
      </c>
      <c r="J32" s="8" t="s">
        <v>11</v>
      </c>
      <c r="K32" s="32"/>
      <c r="L32" s="32"/>
      <c r="M32" s="32"/>
      <c r="N32" s="32"/>
      <c r="O32" s="33" t="s">
        <v>559</v>
      </c>
    </row>
    <row r="33" ht="22.5" customHeight="1" spans="1:15">
      <c r="A33" s="20">
        <v>28</v>
      </c>
      <c r="B33" s="20" t="s">
        <v>31</v>
      </c>
      <c r="C33" s="21" t="s">
        <v>32</v>
      </c>
      <c r="D33" s="8">
        <v>16</v>
      </c>
      <c r="E33" s="8">
        <v>1800</v>
      </c>
      <c r="F33" s="8">
        <v>8570</v>
      </c>
      <c r="G33" s="20" t="s">
        <v>33</v>
      </c>
      <c r="H33" s="8">
        <v>1</v>
      </c>
      <c r="I33" s="36">
        <f t="shared" si="0"/>
        <v>1937.5056</v>
      </c>
      <c r="J33" s="8" t="s">
        <v>11</v>
      </c>
      <c r="K33" s="32"/>
      <c r="L33" s="32"/>
      <c r="M33" s="32"/>
      <c r="N33" s="32"/>
      <c r="O33" s="33" t="s">
        <v>560</v>
      </c>
    </row>
    <row r="34" ht="22.5" customHeight="1" spans="1:15">
      <c r="A34" s="20">
        <v>29</v>
      </c>
      <c r="B34" s="20" t="s">
        <v>31</v>
      </c>
      <c r="C34" s="21" t="s">
        <v>32</v>
      </c>
      <c r="D34" s="8">
        <v>16</v>
      </c>
      <c r="E34" s="8">
        <v>1800</v>
      </c>
      <c r="F34" s="8">
        <v>8740</v>
      </c>
      <c r="G34" s="20" t="s">
        <v>33</v>
      </c>
      <c r="H34" s="8">
        <v>1</v>
      </c>
      <c r="I34" s="36">
        <f t="shared" si="0"/>
        <v>1975.9392</v>
      </c>
      <c r="J34" s="8" t="s">
        <v>12</v>
      </c>
      <c r="K34" s="32"/>
      <c r="L34" s="32"/>
      <c r="M34" s="32"/>
      <c r="N34" s="32"/>
      <c r="O34" s="33" t="s">
        <v>561</v>
      </c>
    </row>
    <row r="35" ht="22.5" customHeight="1" spans="1:15">
      <c r="A35" s="20">
        <v>30</v>
      </c>
      <c r="B35" s="20" t="s">
        <v>31</v>
      </c>
      <c r="C35" s="21" t="s">
        <v>32</v>
      </c>
      <c r="D35" s="8">
        <v>16</v>
      </c>
      <c r="E35" s="8">
        <v>1800</v>
      </c>
      <c r="F35" s="8">
        <v>9110</v>
      </c>
      <c r="G35" s="20" t="s">
        <v>33</v>
      </c>
      <c r="H35" s="8">
        <v>1</v>
      </c>
      <c r="I35" s="36">
        <f t="shared" si="0"/>
        <v>2059.5888</v>
      </c>
      <c r="J35" s="8" t="s">
        <v>34</v>
      </c>
      <c r="K35" s="32"/>
      <c r="L35" s="32"/>
      <c r="M35" s="32"/>
      <c r="N35" s="32"/>
      <c r="O35" s="33" t="s">
        <v>562</v>
      </c>
    </row>
    <row r="36" ht="22.5" customHeight="1" spans="1:15">
      <c r="A36" s="20">
        <v>31</v>
      </c>
      <c r="B36" s="20" t="s">
        <v>31</v>
      </c>
      <c r="C36" s="21" t="s">
        <v>32</v>
      </c>
      <c r="D36" s="8">
        <v>16</v>
      </c>
      <c r="E36" s="8">
        <v>1800</v>
      </c>
      <c r="F36" s="8">
        <v>9680</v>
      </c>
      <c r="G36" s="20" t="s">
        <v>33</v>
      </c>
      <c r="H36" s="8">
        <v>1</v>
      </c>
      <c r="I36" s="36">
        <f t="shared" si="0"/>
        <v>2188.4544</v>
      </c>
      <c r="J36" s="8" t="s">
        <v>11</v>
      </c>
      <c r="K36" s="32"/>
      <c r="L36" s="32"/>
      <c r="M36" s="32"/>
      <c r="N36" s="32"/>
      <c r="O36" s="33" t="s">
        <v>563</v>
      </c>
    </row>
    <row r="37" ht="22.5" customHeight="1" spans="1:15">
      <c r="A37" s="20">
        <v>32</v>
      </c>
      <c r="B37" s="20" t="s">
        <v>31</v>
      </c>
      <c r="C37" s="21" t="s">
        <v>32</v>
      </c>
      <c r="D37" s="8">
        <v>16</v>
      </c>
      <c r="E37" s="8">
        <v>1800</v>
      </c>
      <c r="F37" s="8">
        <v>9730</v>
      </c>
      <c r="G37" s="20" t="s">
        <v>33</v>
      </c>
      <c r="H37" s="8">
        <v>1</v>
      </c>
      <c r="I37" s="36">
        <f t="shared" si="0"/>
        <v>2199.7584</v>
      </c>
      <c r="J37" s="8" t="s">
        <v>12</v>
      </c>
      <c r="K37" s="32"/>
      <c r="L37" s="32"/>
      <c r="M37" s="32"/>
      <c r="N37" s="32"/>
      <c r="O37" s="33" t="s">
        <v>564</v>
      </c>
    </row>
    <row r="38" ht="22.5" customHeight="1" spans="1:15">
      <c r="A38" s="20">
        <v>33</v>
      </c>
      <c r="B38" s="20" t="s">
        <v>31</v>
      </c>
      <c r="C38" s="21" t="s">
        <v>32</v>
      </c>
      <c r="D38" s="8">
        <v>16</v>
      </c>
      <c r="E38" s="8">
        <v>1800</v>
      </c>
      <c r="F38" s="8">
        <v>9860</v>
      </c>
      <c r="G38" s="20" t="s">
        <v>33</v>
      </c>
      <c r="H38" s="8">
        <v>1</v>
      </c>
      <c r="I38" s="36">
        <f t="shared" si="0"/>
        <v>2229.1488</v>
      </c>
      <c r="J38" s="8" t="s">
        <v>11</v>
      </c>
      <c r="K38" s="32"/>
      <c r="L38" s="32"/>
      <c r="M38" s="32"/>
      <c r="N38" s="32"/>
      <c r="O38" s="33" t="s">
        <v>565</v>
      </c>
    </row>
    <row r="39" ht="22.5" customHeight="1" spans="1:15">
      <c r="A39" s="20">
        <v>34</v>
      </c>
      <c r="B39" s="20" t="s">
        <v>31</v>
      </c>
      <c r="C39" s="21" t="s">
        <v>32</v>
      </c>
      <c r="D39" s="8">
        <v>16</v>
      </c>
      <c r="E39" s="8">
        <v>1800</v>
      </c>
      <c r="F39" s="8">
        <v>10050</v>
      </c>
      <c r="G39" s="20" t="s">
        <v>33</v>
      </c>
      <c r="H39" s="8">
        <v>1</v>
      </c>
      <c r="I39" s="36">
        <f t="shared" si="0"/>
        <v>2272.104</v>
      </c>
      <c r="J39" s="8" t="s">
        <v>34</v>
      </c>
      <c r="K39" s="32"/>
      <c r="L39" s="32"/>
      <c r="M39" s="32"/>
      <c r="N39" s="32"/>
      <c r="O39" s="33" t="s">
        <v>566</v>
      </c>
    </row>
    <row r="40" ht="22.5" customHeight="1" spans="1:15">
      <c r="A40" s="20">
        <v>35</v>
      </c>
      <c r="B40" s="20" t="s">
        <v>31</v>
      </c>
      <c r="C40" s="21" t="s">
        <v>32</v>
      </c>
      <c r="D40" s="8">
        <v>16</v>
      </c>
      <c r="E40" s="8">
        <v>1800</v>
      </c>
      <c r="F40" s="8">
        <v>10130</v>
      </c>
      <c r="G40" s="20" t="s">
        <v>33</v>
      </c>
      <c r="H40" s="8">
        <v>1</v>
      </c>
      <c r="I40" s="36">
        <f t="shared" si="0"/>
        <v>2290.1904</v>
      </c>
      <c r="J40" s="8" t="s">
        <v>12</v>
      </c>
      <c r="K40" s="32"/>
      <c r="L40" s="32"/>
      <c r="M40" s="32"/>
      <c r="N40" s="32"/>
      <c r="O40" s="33" t="s">
        <v>567</v>
      </c>
    </row>
    <row r="41" ht="22.5" customHeight="1" spans="1:15">
      <c r="A41" s="20">
        <v>36</v>
      </c>
      <c r="B41" s="20" t="s">
        <v>31</v>
      </c>
      <c r="C41" s="21" t="s">
        <v>32</v>
      </c>
      <c r="D41" s="8">
        <v>16</v>
      </c>
      <c r="E41" s="8">
        <v>1800</v>
      </c>
      <c r="F41" s="8">
        <v>11880</v>
      </c>
      <c r="G41" s="20" t="s">
        <v>33</v>
      </c>
      <c r="H41" s="8">
        <v>1</v>
      </c>
      <c r="I41" s="36">
        <f t="shared" si="0"/>
        <v>2685.8304</v>
      </c>
      <c r="J41" s="8" t="s">
        <v>11</v>
      </c>
      <c r="K41" s="32"/>
      <c r="L41" s="32"/>
      <c r="M41" s="32"/>
      <c r="N41" s="32"/>
      <c r="O41" s="33" t="s">
        <v>568</v>
      </c>
    </row>
    <row r="42" ht="22.5" customHeight="1" spans="1:15">
      <c r="A42" s="20">
        <v>37</v>
      </c>
      <c r="B42" s="20" t="s">
        <v>31</v>
      </c>
      <c r="C42" s="21" t="s">
        <v>32</v>
      </c>
      <c r="D42" s="8">
        <v>16</v>
      </c>
      <c r="E42" s="8">
        <v>1800</v>
      </c>
      <c r="F42" s="8">
        <v>12000</v>
      </c>
      <c r="G42" s="20" t="s">
        <v>33</v>
      </c>
      <c r="H42" s="8">
        <v>1</v>
      </c>
      <c r="I42" s="36">
        <f t="shared" si="0"/>
        <v>2712.96</v>
      </c>
      <c r="J42" s="8" t="s">
        <v>11</v>
      </c>
      <c r="K42" s="32"/>
      <c r="L42" s="32"/>
      <c r="M42" s="32"/>
      <c r="N42" s="32"/>
      <c r="O42" s="33" t="s">
        <v>569</v>
      </c>
    </row>
    <row r="43" ht="22.5" customHeight="1" spans="1:15">
      <c r="A43" s="20">
        <v>38</v>
      </c>
      <c r="B43" s="20" t="s">
        <v>31</v>
      </c>
      <c r="C43" s="21" t="s">
        <v>32</v>
      </c>
      <c r="D43" s="8">
        <v>16</v>
      </c>
      <c r="E43" s="8">
        <v>1800</v>
      </c>
      <c r="F43" s="8">
        <v>12480</v>
      </c>
      <c r="G43" s="20" t="s">
        <v>33</v>
      </c>
      <c r="H43" s="8">
        <v>1</v>
      </c>
      <c r="I43" s="36">
        <f t="shared" si="0"/>
        <v>2821.4784</v>
      </c>
      <c r="J43" s="8" t="s">
        <v>12</v>
      </c>
      <c r="K43" s="32"/>
      <c r="L43" s="32"/>
      <c r="M43" s="32"/>
      <c r="N43" s="32"/>
      <c r="O43" s="33" t="s">
        <v>570</v>
      </c>
    </row>
    <row r="44" ht="22.5" customHeight="1" spans="1:17">
      <c r="A44" s="20">
        <v>39</v>
      </c>
      <c r="B44" s="20" t="s">
        <v>31</v>
      </c>
      <c r="C44" s="21" t="s">
        <v>32</v>
      </c>
      <c r="D44" s="8">
        <v>16</v>
      </c>
      <c r="E44" s="8">
        <v>2000</v>
      </c>
      <c r="F44" s="8">
        <v>7490</v>
      </c>
      <c r="G44" s="20" t="s">
        <v>33</v>
      </c>
      <c r="H44" s="8">
        <v>3</v>
      </c>
      <c r="I44" s="36">
        <f t="shared" si="0"/>
        <v>5644.464</v>
      </c>
      <c r="J44" s="8" t="s">
        <v>11</v>
      </c>
      <c r="K44" s="32">
        <f>SUM(I9:I44)</f>
        <v>105997.9848</v>
      </c>
      <c r="L44" s="32">
        <f>[13]Sheet2!$P$37</f>
        <v>105997.9848</v>
      </c>
      <c r="M44" s="32"/>
      <c r="N44" s="32"/>
      <c r="O44" s="33" t="s">
        <v>571</v>
      </c>
      <c r="P44" s="33" t="s">
        <v>572</v>
      </c>
      <c r="Q44" s="33" t="s">
        <v>573</v>
      </c>
    </row>
    <row r="45" ht="22.5" customHeight="1" spans="1:14">
      <c r="A45" s="5" t="s">
        <v>40</v>
      </c>
      <c r="B45" s="5"/>
      <c r="C45" s="5"/>
      <c r="D45" s="5"/>
      <c r="E45" s="5"/>
      <c r="F45" s="5"/>
      <c r="G45" s="5"/>
      <c r="H45" s="5"/>
      <c r="I45" s="34">
        <f>SUM(I6:I44)</f>
        <v>113126.5698</v>
      </c>
      <c r="J45" s="13"/>
      <c r="K45" s="32">
        <f>[6]D桥估料表!$G$48</f>
        <v>144761.9173216</v>
      </c>
      <c r="L45" s="32"/>
      <c r="M45" s="32"/>
      <c r="N45" s="32"/>
    </row>
    <row r="46" ht="22.5" customHeight="1" spans="1:14">
      <c r="A46" s="22" t="s">
        <v>41</v>
      </c>
      <c r="B46" s="22"/>
      <c r="C46" s="22"/>
      <c r="D46" s="22"/>
      <c r="E46" s="22"/>
      <c r="F46" s="22"/>
      <c r="G46" s="22"/>
      <c r="H46" s="22"/>
      <c r="I46" s="22"/>
      <c r="J46" s="22"/>
      <c r="K46" s="32"/>
      <c r="L46" s="32"/>
      <c r="M46" s="32"/>
      <c r="N46" s="32"/>
    </row>
    <row r="47" ht="22.5" customHeight="1" spans="1:14">
      <c r="A47" s="22" t="s">
        <v>401</v>
      </c>
      <c r="B47" s="22"/>
      <c r="C47" s="22"/>
      <c r="D47" s="22"/>
      <c r="E47" s="22"/>
      <c r="F47" s="22"/>
      <c r="G47" s="22"/>
      <c r="H47" s="22"/>
      <c r="I47" s="22"/>
      <c r="J47" s="22"/>
      <c r="K47" s="32"/>
      <c r="L47" s="32"/>
      <c r="M47" s="32"/>
      <c r="N47" s="32"/>
    </row>
    <row r="48" ht="16.5" spans="1:10">
      <c r="A48" s="16" t="s">
        <v>457</v>
      </c>
      <c r="B48" s="17"/>
      <c r="C48" s="17"/>
      <c r="D48" s="17"/>
      <c r="E48" s="17"/>
      <c r="F48" s="17"/>
      <c r="G48" s="17"/>
      <c r="H48" s="17"/>
      <c r="I48" s="17"/>
      <c r="J48" s="17"/>
    </row>
  </sheetData>
  <autoFilter ref="A5:J48">
    <sortState ref="A5:J48">
      <sortCondition ref="E5"/>
    </sortState>
    <extLst/>
  </autoFilter>
  <mergeCells count="7">
    <mergeCell ref="A1:J1"/>
    <mergeCell ref="A2:J2"/>
    <mergeCell ref="A3:F3"/>
    <mergeCell ref="A45:H45"/>
    <mergeCell ref="A46:J46"/>
    <mergeCell ref="A47:J47"/>
    <mergeCell ref="A48:J48"/>
  </mergeCells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K89"/>
  <sheetViews>
    <sheetView topLeftCell="A70" workbookViewId="0">
      <selection activeCell="A63" sqref="A63:J66"/>
    </sheetView>
  </sheetViews>
  <sheetFormatPr defaultColWidth="9" defaultRowHeight="13.5"/>
  <cols>
    <col min="4" max="4" width="12.625"/>
    <col min="5" max="5" width="9.375"/>
    <col min="11" max="12" width="12.625"/>
  </cols>
  <sheetData>
    <row r="1" ht="22.5" spans="1:10">
      <c r="A1" s="15" t="s">
        <v>20</v>
      </c>
      <c r="B1" s="15"/>
      <c r="C1" s="15"/>
      <c r="D1" s="15"/>
      <c r="E1" s="15"/>
      <c r="F1" s="15"/>
      <c r="G1" s="15"/>
      <c r="H1" s="15"/>
      <c r="I1" s="15"/>
      <c r="J1" s="15"/>
    </row>
    <row r="2" ht="16.5" spans="1:10">
      <c r="A2" s="16" t="s">
        <v>21</v>
      </c>
      <c r="B2" s="17"/>
      <c r="C2" s="17"/>
      <c r="D2" s="17"/>
      <c r="E2" s="17"/>
      <c r="F2" s="17"/>
      <c r="G2" s="17"/>
      <c r="H2" s="17"/>
      <c r="I2" s="17"/>
      <c r="J2" s="26"/>
    </row>
    <row r="3" ht="16.5" spans="1:10">
      <c r="A3" s="18" t="s">
        <v>44</v>
      </c>
      <c r="B3" s="19"/>
      <c r="C3" s="19"/>
      <c r="D3" s="17"/>
      <c r="E3" s="19"/>
      <c r="F3" s="19"/>
      <c r="G3" s="17"/>
      <c r="H3" s="17"/>
      <c r="I3" s="26"/>
      <c r="J3" s="26"/>
    </row>
    <row r="4" ht="15" spans="1:10">
      <c r="A4" s="1" t="s">
        <v>23</v>
      </c>
      <c r="B4" s="1" t="s">
        <v>0</v>
      </c>
      <c r="C4" s="2" t="s">
        <v>24</v>
      </c>
      <c r="D4" s="2" t="s">
        <v>25</v>
      </c>
      <c r="E4" s="2" t="s">
        <v>26</v>
      </c>
      <c r="F4" s="2" t="s">
        <v>27</v>
      </c>
      <c r="G4" s="3" t="s">
        <v>28</v>
      </c>
      <c r="H4" s="2" t="s">
        <v>3</v>
      </c>
      <c r="I4" s="11" t="s">
        <v>29</v>
      </c>
      <c r="J4" s="11" t="s">
        <v>30</v>
      </c>
    </row>
    <row r="5" ht="16.5" spans="1:10">
      <c r="A5" s="5">
        <v>1</v>
      </c>
      <c r="B5" s="5" t="s">
        <v>31</v>
      </c>
      <c r="C5" s="156" t="s">
        <v>32</v>
      </c>
      <c r="D5" s="6">
        <v>16</v>
      </c>
      <c r="E5" s="6">
        <v>1970</v>
      </c>
      <c r="F5" s="6">
        <v>9900</v>
      </c>
      <c r="G5" s="8" t="s">
        <v>33</v>
      </c>
      <c r="H5" s="5">
        <v>1</v>
      </c>
      <c r="I5" s="157">
        <f t="shared" ref="I5:I68" si="0">D5*E5*F5*H5*7.85/1000000</f>
        <v>2449.5768</v>
      </c>
      <c r="J5" s="13" t="s">
        <v>11</v>
      </c>
    </row>
    <row r="6" ht="16.5" spans="1:10">
      <c r="A6" s="5">
        <v>2</v>
      </c>
      <c r="B6" s="5" t="s">
        <v>31</v>
      </c>
      <c r="C6" s="156" t="s">
        <v>32</v>
      </c>
      <c r="D6" s="6">
        <v>16</v>
      </c>
      <c r="E6" s="6">
        <v>2010</v>
      </c>
      <c r="F6" s="6">
        <v>9700</v>
      </c>
      <c r="G6" s="8" t="s">
        <v>33</v>
      </c>
      <c r="H6" s="5">
        <v>1</v>
      </c>
      <c r="I6" s="157">
        <f t="shared" si="0"/>
        <v>2448.8232</v>
      </c>
      <c r="J6" s="13" t="s">
        <v>11</v>
      </c>
    </row>
    <row r="7" ht="16.5" spans="1:10">
      <c r="A7" s="5">
        <v>3</v>
      </c>
      <c r="B7" s="5" t="s">
        <v>31</v>
      </c>
      <c r="C7" s="156" t="s">
        <v>32</v>
      </c>
      <c r="D7" s="6">
        <v>16</v>
      </c>
      <c r="E7" s="6">
        <v>2010</v>
      </c>
      <c r="F7" s="6">
        <v>7750</v>
      </c>
      <c r="G7" s="8" t="s">
        <v>33</v>
      </c>
      <c r="H7" s="5">
        <v>1</v>
      </c>
      <c r="I7" s="157">
        <f t="shared" si="0"/>
        <v>1956.534</v>
      </c>
      <c r="J7" s="13" t="s">
        <v>11</v>
      </c>
    </row>
    <row r="8" ht="16.5" spans="1:10">
      <c r="A8" s="5">
        <v>4</v>
      </c>
      <c r="B8" s="5" t="s">
        <v>31</v>
      </c>
      <c r="C8" s="156" t="s">
        <v>32</v>
      </c>
      <c r="D8" s="6">
        <v>16</v>
      </c>
      <c r="E8" s="6">
        <v>2010</v>
      </c>
      <c r="F8" s="6">
        <v>7440</v>
      </c>
      <c r="G8" s="8" t="s">
        <v>33</v>
      </c>
      <c r="H8" s="5">
        <v>1</v>
      </c>
      <c r="I8" s="157">
        <f t="shared" si="0"/>
        <v>1878.27264</v>
      </c>
      <c r="J8" s="13" t="s">
        <v>11</v>
      </c>
    </row>
    <row r="9" ht="16.5" spans="1:10">
      <c r="A9" s="5">
        <v>5</v>
      </c>
      <c r="B9" s="5" t="s">
        <v>31</v>
      </c>
      <c r="C9" s="156" t="s">
        <v>32</v>
      </c>
      <c r="D9" s="6">
        <v>16</v>
      </c>
      <c r="E9" s="6">
        <v>1890</v>
      </c>
      <c r="F9" s="6">
        <v>7890</v>
      </c>
      <c r="G9" s="8" t="s">
        <v>33</v>
      </c>
      <c r="H9" s="5">
        <v>1</v>
      </c>
      <c r="I9" s="157">
        <f t="shared" si="0"/>
        <v>1872.95976</v>
      </c>
      <c r="J9" s="13" t="s">
        <v>11</v>
      </c>
    </row>
    <row r="10" ht="16.5" spans="1:10">
      <c r="A10" s="5">
        <v>6</v>
      </c>
      <c r="B10" s="5" t="s">
        <v>31</v>
      </c>
      <c r="C10" s="156" t="s">
        <v>32</v>
      </c>
      <c r="D10" s="6">
        <v>16</v>
      </c>
      <c r="E10" s="6">
        <v>2010</v>
      </c>
      <c r="F10" s="6">
        <v>7430</v>
      </c>
      <c r="G10" s="8" t="s">
        <v>33</v>
      </c>
      <c r="H10" s="5">
        <v>1</v>
      </c>
      <c r="I10" s="157">
        <f t="shared" si="0"/>
        <v>1875.74808</v>
      </c>
      <c r="J10" s="13" t="s">
        <v>11</v>
      </c>
    </row>
    <row r="11" ht="16.5" spans="1:10">
      <c r="A11" s="5">
        <v>7</v>
      </c>
      <c r="B11" s="5" t="s">
        <v>31</v>
      </c>
      <c r="C11" s="156" t="s">
        <v>32</v>
      </c>
      <c r="D11" s="6">
        <v>16</v>
      </c>
      <c r="E11" s="6">
        <v>1950</v>
      </c>
      <c r="F11" s="6">
        <v>7710</v>
      </c>
      <c r="G11" s="8" t="s">
        <v>33</v>
      </c>
      <c r="H11" s="5">
        <v>1</v>
      </c>
      <c r="I11" s="157">
        <f t="shared" si="0"/>
        <v>1888.3332</v>
      </c>
      <c r="J11" s="13" t="s">
        <v>11</v>
      </c>
    </row>
    <row r="12" ht="16.5" spans="1:10">
      <c r="A12" s="5">
        <v>8</v>
      </c>
      <c r="B12" s="5" t="s">
        <v>31</v>
      </c>
      <c r="C12" s="156" t="s">
        <v>32</v>
      </c>
      <c r="D12" s="6">
        <v>16</v>
      </c>
      <c r="E12" s="6">
        <v>2010</v>
      </c>
      <c r="F12" s="6">
        <v>7420</v>
      </c>
      <c r="G12" s="8" t="s">
        <v>33</v>
      </c>
      <c r="H12" s="5">
        <v>1</v>
      </c>
      <c r="I12" s="157">
        <f t="shared" si="0"/>
        <v>1873.22352</v>
      </c>
      <c r="J12" s="13" t="s">
        <v>11</v>
      </c>
    </row>
    <row r="13" ht="16.5" spans="1:10">
      <c r="A13" s="5">
        <v>9</v>
      </c>
      <c r="B13" s="5" t="s">
        <v>31</v>
      </c>
      <c r="C13" s="156" t="s">
        <v>32</v>
      </c>
      <c r="D13" s="6">
        <v>16</v>
      </c>
      <c r="E13" s="6">
        <v>2005</v>
      </c>
      <c r="F13" s="6">
        <v>7420</v>
      </c>
      <c r="G13" s="8" t="s">
        <v>33</v>
      </c>
      <c r="H13" s="5">
        <v>1</v>
      </c>
      <c r="I13" s="157">
        <f t="shared" si="0"/>
        <v>1868.56376</v>
      </c>
      <c r="J13" s="13" t="s">
        <v>11</v>
      </c>
    </row>
    <row r="14" ht="16.5" spans="1:10">
      <c r="A14" s="5">
        <v>10</v>
      </c>
      <c r="B14" s="5" t="s">
        <v>31</v>
      </c>
      <c r="C14" s="156" t="s">
        <v>32</v>
      </c>
      <c r="D14" s="6">
        <v>16</v>
      </c>
      <c r="E14" s="6">
        <v>2010</v>
      </c>
      <c r="F14" s="6">
        <v>7420</v>
      </c>
      <c r="G14" s="8" t="s">
        <v>33</v>
      </c>
      <c r="H14" s="5">
        <v>1</v>
      </c>
      <c r="I14" s="157">
        <f t="shared" si="0"/>
        <v>1873.22352</v>
      </c>
      <c r="J14" s="13" t="s">
        <v>11</v>
      </c>
    </row>
    <row r="15" ht="16.5" spans="1:10">
      <c r="A15" s="5">
        <v>11</v>
      </c>
      <c r="B15" s="5" t="s">
        <v>31</v>
      </c>
      <c r="C15" s="156" t="s">
        <v>32</v>
      </c>
      <c r="D15" s="6">
        <v>16</v>
      </c>
      <c r="E15" s="6">
        <v>2010</v>
      </c>
      <c r="F15" s="6">
        <v>7420</v>
      </c>
      <c r="G15" s="8" t="s">
        <v>33</v>
      </c>
      <c r="H15" s="5">
        <v>1</v>
      </c>
      <c r="I15" s="157">
        <f t="shared" si="0"/>
        <v>1873.22352</v>
      </c>
      <c r="J15" s="13" t="s">
        <v>11</v>
      </c>
    </row>
    <row r="16" ht="16.5" spans="1:10">
      <c r="A16" s="5">
        <v>12</v>
      </c>
      <c r="B16" s="5" t="s">
        <v>31</v>
      </c>
      <c r="C16" s="156" t="s">
        <v>32</v>
      </c>
      <c r="D16" s="6">
        <v>16</v>
      </c>
      <c r="E16" s="6">
        <v>2010</v>
      </c>
      <c r="F16" s="6">
        <v>7420</v>
      </c>
      <c r="G16" s="8" t="s">
        <v>33</v>
      </c>
      <c r="H16" s="5">
        <v>1</v>
      </c>
      <c r="I16" s="157">
        <f t="shared" si="0"/>
        <v>1873.22352</v>
      </c>
      <c r="J16" s="13" t="s">
        <v>11</v>
      </c>
    </row>
    <row r="17" ht="16.5" spans="1:10">
      <c r="A17" s="5">
        <v>13</v>
      </c>
      <c r="B17" s="5" t="s">
        <v>31</v>
      </c>
      <c r="C17" s="156" t="s">
        <v>32</v>
      </c>
      <c r="D17" s="6">
        <v>16</v>
      </c>
      <c r="E17" s="6">
        <v>2010</v>
      </c>
      <c r="F17" s="6">
        <v>7420</v>
      </c>
      <c r="G17" s="8" t="s">
        <v>33</v>
      </c>
      <c r="H17" s="5">
        <v>1</v>
      </c>
      <c r="I17" s="157">
        <f t="shared" si="0"/>
        <v>1873.22352</v>
      </c>
      <c r="J17" s="13" t="s">
        <v>11</v>
      </c>
    </row>
    <row r="18" ht="16.5" spans="1:10">
      <c r="A18" s="5">
        <v>14</v>
      </c>
      <c r="B18" s="5" t="s">
        <v>31</v>
      </c>
      <c r="C18" s="156" t="s">
        <v>32</v>
      </c>
      <c r="D18" s="6">
        <v>16</v>
      </c>
      <c r="E18" s="6">
        <v>2010</v>
      </c>
      <c r="F18" s="6">
        <v>7420</v>
      </c>
      <c r="G18" s="8" t="s">
        <v>33</v>
      </c>
      <c r="H18" s="5">
        <v>1</v>
      </c>
      <c r="I18" s="157">
        <f t="shared" si="0"/>
        <v>1873.22352</v>
      </c>
      <c r="J18" s="13" t="s">
        <v>11</v>
      </c>
    </row>
    <row r="19" ht="16.5" spans="1:10">
      <c r="A19" s="5">
        <v>15</v>
      </c>
      <c r="B19" s="5" t="s">
        <v>31</v>
      </c>
      <c r="C19" s="156" t="s">
        <v>32</v>
      </c>
      <c r="D19" s="6">
        <v>16</v>
      </c>
      <c r="E19" s="6">
        <v>2010</v>
      </c>
      <c r="F19" s="6">
        <v>7420</v>
      </c>
      <c r="G19" s="8" t="s">
        <v>33</v>
      </c>
      <c r="H19" s="5">
        <v>1</v>
      </c>
      <c r="I19" s="157">
        <f t="shared" si="0"/>
        <v>1873.22352</v>
      </c>
      <c r="J19" s="13" t="s">
        <v>11</v>
      </c>
    </row>
    <row r="20" ht="16.5" spans="1:10">
      <c r="A20" s="5">
        <v>16</v>
      </c>
      <c r="B20" s="5" t="s">
        <v>31</v>
      </c>
      <c r="C20" s="156" t="s">
        <v>32</v>
      </c>
      <c r="D20" s="6">
        <v>16</v>
      </c>
      <c r="E20" s="6">
        <v>2010</v>
      </c>
      <c r="F20" s="6">
        <v>7420</v>
      </c>
      <c r="G20" s="8" t="s">
        <v>33</v>
      </c>
      <c r="H20" s="5">
        <v>1</v>
      </c>
      <c r="I20" s="157">
        <f t="shared" si="0"/>
        <v>1873.22352</v>
      </c>
      <c r="J20" s="13" t="s">
        <v>11</v>
      </c>
    </row>
    <row r="21" ht="16.5" spans="1:10">
      <c r="A21" s="5">
        <v>17</v>
      </c>
      <c r="B21" s="5" t="s">
        <v>31</v>
      </c>
      <c r="C21" s="156" t="s">
        <v>32</v>
      </c>
      <c r="D21" s="6">
        <v>16</v>
      </c>
      <c r="E21" s="6">
        <v>1910</v>
      </c>
      <c r="F21" s="6">
        <v>7630</v>
      </c>
      <c r="G21" s="8" t="s">
        <v>33</v>
      </c>
      <c r="H21" s="5">
        <v>1</v>
      </c>
      <c r="I21" s="157">
        <f t="shared" si="0"/>
        <v>1830.40648</v>
      </c>
      <c r="J21" s="13" t="s">
        <v>11</v>
      </c>
    </row>
    <row r="22" ht="16.5" spans="1:10">
      <c r="A22" s="5">
        <v>18</v>
      </c>
      <c r="B22" s="5" t="s">
        <v>31</v>
      </c>
      <c r="C22" s="156" t="s">
        <v>32</v>
      </c>
      <c r="D22" s="6">
        <v>16</v>
      </c>
      <c r="E22" s="6">
        <v>1910</v>
      </c>
      <c r="F22" s="6">
        <v>7630</v>
      </c>
      <c r="G22" s="8" t="s">
        <v>33</v>
      </c>
      <c r="H22" s="5">
        <v>1</v>
      </c>
      <c r="I22" s="157">
        <f t="shared" si="0"/>
        <v>1830.40648</v>
      </c>
      <c r="J22" s="13" t="s">
        <v>11</v>
      </c>
    </row>
    <row r="23" ht="16.5" spans="1:10">
      <c r="A23" s="5">
        <v>19</v>
      </c>
      <c r="B23" s="5" t="s">
        <v>31</v>
      </c>
      <c r="C23" s="156" t="s">
        <v>32</v>
      </c>
      <c r="D23" s="6">
        <v>16</v>
      </c>
      <c r="E23" s="6">
        <v>1910</v>
      </c>
      <c r="F23" s="6">
        <v>7630</v>
      </c>
      <c r="G23" s="8" t="s">
        <v>33</v>
      </c>
      <c r="H23" s="5">
        <v>1</v>
      </c>
      <c r="I23" s="157">
        <f t="shared" si="0"/>
        <v>1830.40648</v>
      </c>
      <c r="J23" s="13" t="s">
        <v>11</v>
      </c>
    </row>
    <row r="24" ht="16.5" spans="1:10">
      <c r="A24" s="5">
        <v>20</v>
      </c>
      <c r="B24" s="5" t="s">
        <v>31</v>
      </c>
      <c r="C24" s="156" t="s">
        <v>32</v>
      </c>
      <c r="D24" s="6">
        <v>16</v>
      </c>
      <c r="E24" s="6">
        <v>1910</v>
      </c>
      <c r="F24" s="6">
        <v>7630</v>
      </c>
      <c r="G24" s="8" t="s">
        <v>33</v>
      </c>
      <c r="H24" s="5">
        <v>1</v>
      </c>
      <c r="I24" s="157">
        <f t="shared" si="0"/>
        <v>1830.40648</v>
      </c>
      <c r="J24" s="13" t="s">
        <v>11</v>
      </c>
    </row>
    <row r="25" ht="16.5" spans="1:10">
      <c r="A25" s="5">
        <v>21</v>
      </c>
      <c r="B25" s="5" t="s">
        <v>31</v>
      </c>
      <c r="C25" s="156" t="s">
        <v>32</v>
      </c>
      <c r="D25" s="6">
        <v>16</v>
      </c>
      <c r="E25" s="6">
        <v>1910</v>
      </c>
      <c r="F25" s="6">
        <v>7630</v>
      </c>
      <c r="G25" s="8" t="s">
        <v>33</v>
      </c>
      <c r="H25" s="5">
        <v>1</v>
      </c>
      <c r="I25" s="157">
        <f t="shared" si="0"/>
        <v>1830.40648</v>
      </c>
      <c r="J25" s="13" t="s">
        <v>11</v>
      </c>
    </row>
    <row r="26" ht="16.5" spans="1:10">
      <c r="A26" s="5">
        <v>22</v>
      </c>
      <c r="B26" s="5" t="s">
        <v>31</v>
      </c>
      <c r="C26" s="156" t="s">
        <v>32</v>
      </c>
      <c r="D26" s="6">
        <v>16</v>
      </c>
      <c r="E26" s="6">
        <v>1900</v>
      </c>
      <c r="F26" s="6">
        <v>7600</v>
      </c>
      <c r="G26" s="8" t="s">
        <v>33</v>
      </c>
      <c r="H26" s="5">
        <v>1</v>
      </c>
      <c r="I26" s="157">
        <f t="shared" si="0"/>
        <v>1813.664</v>
      </c>
      <c r="J26" s="13" t="s">
        <v>11</v>
      </c>
    </row>
    <row r="27" ht="16.5" spans="1:10">
      <c r="A27" s="5">
        <v>23</v>
      </c>
      <c r="B27" s="5" t="s">
        <v>31</v>
      </c>
      <c r="C27" s="156" t="s">
        <v>32</v>
      </c>
      <c r="D27" s="6">
        <v>16</v>
      </c>
      <c r="E27" s="6">
        <v>1900</v>
      </c>
      <c r="F27" s="6">
        <v>7600</v>
      </c>
      <c r="G27" s="8" t="s">
        <v>33</v>
      </c>
      <c r="H27" s="5">
        <v>1</v>
      </c>
      <c r="I27" s="157">
        <f t="shared" si="0"/>
        <v>1813.664</v>
      </c>
      <c r="J27" s="13" t="s">
        <v>11</v>
      </c>
    </row>
    <row r="28" ht="16.5" spans="1:10">
      <c r="A28" s="5">
        <v>24</v>
      </c>
      <c r="B28" s="5" t="s">
        <v>31</v>
      </c>
      <c r="C28" s="156" t="s">
        <v>32</v>
      </c>
      <c r="D28" s="6">
        <v>16</v>
      </c>
      <c r="E28" s="6">
        <v>1900</v>
      </c>
      <c r="F28" s="6">
        <v>7600</v>
      </c>
      <c r="G28" s="8" t="s">
        <v>33</v>
      </c>
      <c r="H28" s="5">
        <v>1</v>
      </c>
      <c r="I28" s="157">
        <f t="shared" si="0"/>
        <v>1813.664</v>
      </c>
      <c r="J28" s="13" t="s">
        <v>11</v>
      </c>
    </row>
    <row r="29" ht="16.5" spans="1:10">
      <c r="A29" s="5">
        <v>25</v>
      </c>
      <c r="B29" s="5" t="s">
        <v>31</v>
      </c>
      <c r="C29" s="156" t="s">
        <v>32</v>
      </c>
      <c r="D29" s="6">
        <v>16</v>
      </c>
      <c r="E29" s="6">
        <v>1890</v>
      </c>
      <c r="F29" s="6">
        <v>7530</v>
      </c>
      <c r="G29" s="8" t="s">
        <v>33</v>
      </c>
      <c r="H29" s="5">
        <v>1</v>
      </c>
      <c r="I29" s="157">
        <f t="shared" si="0"/>
        <v>1787.50152</v>
      </c>
      <c r="J29" s="13" t="s">
        <v>11</v>
      </c>
    </row>
    <row r="30" ht="16.5" spans="1:10">
      <c r="A30" s="5">
        <v>26</v>
      </c>
      <c r="B30" s="5" t="s">
        <v>31</v>
      </c>
      <c r="C30" s="156" t="s">
        <v>32</v>
      </c>
      <c r="D30" s="6">
        <v>16</v>
      </c>
      <c r="E30" s="6">
        <v>1880</v>
      </c>
      <c r="F30" s="6">
        <v>7520</v>
      </c>
      <c r="G30" s="8" t="s">
        <v>33</v>
      </c>
      <c r="H30" s="5">
        <v>1</v>
      </c>
      <c r="I30" s="157">
        <f t="shared" si="0"/>
        <v>1775.68256</v>
      </c>
      <c r="J30" s="13" t="s">
        <v>11</v>
      </c>
    </row>
    <row r="31" ht="16.5" spans="1:10">
      <c r="A31" s="5">
        <v>27</v>
      </c>
      <c r="B31" s="5" t="s">
        <v>31</v>
      </c>
      <c r="C31" s="156" t="s">
        <v>32</v>
      </c>
      <c r="D31" s="6">
        <v>16</v>
      </c>
      <c r="E31" s="6">
        <v>1910</v>
      </c>
      <c r="F31" s="6">
        <v>7630</v>
      </c>
      <c r="G31" s="8" t="s">
        <v>33</v>
      </c>
      <c r="H31" s="5">
        <v>1</v>
      </c>
      <c r="I31" s="157">
        <f t="shared" si="0"/>
        <v>1830.40648</v>
      </c>
      <c r="J31" s="13" t="s">
        <v>11</v>
      </c>
    </row>
    <row r="32" ht="16.5" spans="1:10">
      <c r="A32" s="5">
        <v>28</v>
      </c>
      <c r="B32" s="5" t="s">
        <v>31</v>
      </c>
      <c r="C32" s="156" t="s">
        <v>32</v>
      </c>
      <c r="D32" s="6">
        <v>16</v>
      </c>
      <c r="E32" s="6">
        <v>2010</v>
      </c>
      <c r="F32" s="6">
        <v>7420</v>
      </c>
      <c r="G32" s="8" t="s">
        <v>33</v>
      </c>
      <c r="H32" s="5">
        <v>1</v>
      </c>
      <c r="I32" s="157">
        <f t="shared" si="0"/>
        <v>1873.22352</v>
      </c>
      <c r="J32" s="13" t="s">
        <v>11</v>
      </c>
    </row>
    <row r="33" ht="16.5" spans="1:10">
      <c r="A33" s="5">
        <v>29</v>
      </c>
      <c r="B33" s="5" t="s">
        <v>31</v>
      </c>
      <c r="C33" s="156" t="s">
        <v>32</v>
      </c>
      <c r="D33" s="6">
        <v>16</v>
      </c>
      <c r="E33" s="6">
        <v>10050</v>
      </c>
      <c r="F33" s="6">
        <v>1800</v>
      </c>
      <c r="G33" s="8" t="s">
        <v>33</v>
      </c>
      <c r="H33" s="5">
        <v>1</v>
      </c>
      <c r="I33" s="50">
        <f t="shared" si="0"/>
        <v>2272.104</v>
      </c>
      <c r="J33" s="13" t="s">
        <v>34</v>
      </c>
    </row>
    <row r="34" ht="16.5" spans="1:10">
      <c r="A34" s="5">
        <v>30</v>
      </c>
      <c r="B34" s="5" t="s">
        <v>31</v>
      </c>
      <c r="C34" s="156" t="s">
        <v>32</v>
      </c>
      <c r="D34" s="6">
        <v>16</v>
      </c>
      <c r="E34" s="6">
        <v>8050</v>
      </c>
      <c r="F34" s="6">
        <v>1800</v>
      </c>
      <c r="G34" s="8" t="s">
        <v>33</v>
      </c>
      <c r="H34" s="5">
        <v>1</v>
      </c>
      <c r="I34" s="50">
        <f t="shared" si="0"/>
        <v>1819.944</v>
      </c>
      <c r="J34" s="13" t="s">
        <v>34</v>
      </c>
    </row>
    <row r="35" ht="16.5" spans="1:10">
      <c r="A35" s="5">
        <v>31</v>
      </c>
      <c r="B35" s="5" t="s">
        <v>31</v>
      </c>
      <c r="C35" s="156" t="s">
        <v>32</v>
      </c>
      <c r="D35" s="6">
        <v>16</v>
      </c>
      <c r="E35" s="6">
        <v>8050</v>
      </c>
      <c r="F35" s="6">
        <v>1800</v>
      </c>
      <c r="G35" s="8" t="s">
        <v>33</v>
      </c>
      <c r="H35" s="5">
        <v>1</v>
      </c>
      <c r="I35" s="50">
        <f t="shared" si="0"/>
        <v>1819.944</v>
      </c>
      <c r="J35" s="13" t="s">
        <v>34</v>
      </c>
    </row>
    <row r="36" ht="16.5" spans="1:10">
      <c r="A36" s="5">
        <v>32</v>
      </c>
      <c r="B36" s="5" t="s">
        <v>31</v>
      </c>
      <c r="C36" s="156" t="s">
        <v>32</v>
      </c>
      <c r="D36" s="6">
        <v>16</v>
      </c>
      <c r="E36" s="6">
        <v>8080</v>
      </c>
      <c r="F36" s="6">
        <v>1800</v>
      </c>
      <c r="G36" s="8" t="s">
        <v>33</v>
      </c>
      <c r="H36" s="5">
        <v>1</v>
      </c>
      <c r="I36" s="50">
        <f t="shared" si="0"/>
        <v>1826.7264</v>
      </c>
      <c r="J36" s="13" t="s">
        <v>34</v>
      </c>
    </row>
    <row r="37" ht="16.5" spans="1:10">
      <c r="A37" s="5">
        <v>33</v>
      </c>
      <c r="B37" s="5" t="s">
        <v>31</v>
      </c>
      <c r="C37" s="156" t="s">
        <v>32</v>
      </c>
      <c r="D37" s="6">
        <v>16</v>
      </c>
      <c r="E37" s="6">
        <v>8070</v>
      </c>
      <c r="F37" s="6">
        <v>1810</v>
      </c>
      <c r="G37" s="8" t="s">
        <v>33</v>
      </c>
      <c r="H37" s="5">
        <v>1</v>
      </c>
      <c r="I37" s="50">
        <f t="shared" si="0"/>
        <v>1834.60152</v>
      </c>
      <c r="J37" s="13" t="s">
        <v>34</v>
      </c>
    </row>
    <row r="38" ht="16.5" spans="1:10">
      <c r="A38" s="5">
        <v>34</v>
      </c>
      <c r="B38" s="5" t="s">
        <v>31</v>
      </c>
      <c r="C38" s="156" t="s">
        <v>32</v>
      </c>
      <c r="D38" s="6">
        <v>16</v>
      </c>
      <c r="E38" s="6">
        <v>8070</v>
      </c>
      <c r="F38" s="6">
        <v>1805</v>
      </c>
      <c r="G38" s="8" t="s">
        <v>33</v>
      </c>
      <c r="H38" s="5">
        <v>1</v>
      </c>
      <c r="I38" s="50">
        <f t="shared" si="0"/>
        <v>1829.53356</v>
      </c>
      <c r="J38" s="13" t="s">
        <v>34</v>
      </c>
    </row>
    <row r="39" ht="16.5" spans="1:10">
      <c r="A39" s="5">
        <v>35</v>
      </c>
      <c r="B39" s="5" t="s">
        <v>31</v>
      </c>
      <c r="C39" s="156" t="s">
        <v>32</v>
      </c>
      <c r="D39" s="6">
        <v>16</v>
      </c>
      <c r="E39" s="6">
        <v>8070</v>
      </c>
      <c r="F39" s="6">
        <v>1805</v>
      </c>
      <c r="G39" s="8" t="s">
        <v>33</v>
      </c>
      <c r="H39" s="5">
        <v>1</v>
      </c>
      <c r="I39" s="50">
        <f t="shared" si="0"/>
        <v>1829.53356</v>
      </c>
      <c r="J39" s="13" t="s">
        <v>34</v>
      </c>
    </row>
    <row r="40" ht="16.5" spans="1:10">
      <c r="A40" s="5">
        <v>36</v>
      </c>
      <c r="B40" s="5" t="s">
        <v>31</v>
      </c>
      <c r="C40" s="156" t="s">
        <v>32</v>
      </c>
      <c r="D40" s="6">
        <v>16</v>
      </c>
      <c r="E40" s="6">
        <v>8070</v>
      </c>
      <c r="F40" s="6">
        <v>1800</v>
      </c>
      <c r="G40" s="8" t="s">
        <v>33</v>
      </c>
      <c r="H40" s="5">
        <v>1</v>
      </c>
      <c r="I40" s="50">
        <f t="shared" si="0"/>
        <v>1824.4656</v>
      </c>
      <c r="J40" s="13" t="s">
        <v>34</v>
      </c>
    </row>
    <row r="41" ht="16.5" spans="1:10">
      <c r="A41" s="5">
        <v>37</v>
      </c>
      <c r="B41" s="5" t="s">
        <v>31</v>
      </c>
      <c r="C41" s="156" t="s">
        <v>32</v>
      </c>
      <c r="D41" s="6">
        <v>16</v>
      </c>
      <c r="E41" s="6">
        <v>8070</v>
      </c>
      <c r="F41" s="6">
        <v>1800</v>
      </c>
      <c r="G41" s="8" t="s">
        <v>33</v>
      </c>
      <c r="H41" s="5">
        <v>1</v>
      </c>
      <c r="I41" s="50">
        <f t="shared" si="0"/>
        <v>1824.4656</v>
      </c>
      <c r="J41" s="13" t="s">
        <v>34</v>
      </c>
    </row>
    <row r="42" ht="16.5" spans="1:10">
      <c r="A42" s="5">
        <v>38</v>
      </c>
      <c r="B42" s="5" t="s">
        <v>31</v>
      </c>
      <c r="C42" s="156" t="s">
        <v>32</v>
      </c>
      <c r="D42" s="6">
        <v>16</v>
      </c>
      <c r="E42" s="6">
        <v>8070</v>
      </c>
      <c r="F42" s="6">
        <v>1800</v>
      </c>
      <c r="G42" s="8" t="s">
        <v>33</v>
      </c>
      <c r="H42" s="5">
        <v>1</v>
      </c>
      <c r="I42" s="50">
        <f t="shared" si="0"/>
        <v>1824.4656</v>
      </c>
      <c r="J42" s="13" t="s">
        <v>34</v>
      </c>
    </row>
    <row r="43" ht="16.5" spans="1:10">
      <c r="A43" s="5">
        <v>39</v>
      </c>
      <c r="B43" s="5" t="s">
        <v>31</v>
      </c>
      <c r="C43" s="156" t="s">
        <v>32</v>
      </c>
      <c r="D43" s="6">
        <v>16</v>
      </c>
      <c r="E43" s="6">
        <v>8070</v>
      </c>
      <c r="F43" s="6">
        <v>1800</v>
      </c>
      <c r="G43" s="8" t="s">
        <v>33</v>
      </c>
      <c r="H43" s="5">
        <v>1</v>
      </c>
      <c r="I43" s="50">
        <f t="shared" si="0"/>
        <v>1824.4656</v>
      </c>
      <c r="J43" s="13" t="s">
        <v>34</v>
      </c>
    </row>
    <row r="44" ht="16.5" spans="1:10">
      <c r="A44" s="5">
        <v>40</v>
      </c>
      <c r="B44" s="5" t="s">
        <v>31</v>
      </c>
      <c r="C44" s="156" t="s">
        <v>32</v>
      </c>
      <c r="D44" s="6">
        <v>16</v>
      </c>
      <c r="E44" s="6">
        <v>8070</v>
      </c>
      <c r="F44" s="6">
        <v>1800</v>
      </c>
      <c r="G44" s="8" t="s">
        <v>33</v>
      </c>
      <c r="H44" s="5">
        <v>1</v>
      </c>
      <c r="I44" s="50">
        <f t="shared" si="0"/>
        <v>1824.4656</v>
      </c>
      <c r="J44" s="13" t="s">
        <v>34</v>
      </c>
    </row>
    <row r="45" ht="16.5" spans="1:10">
      <c r="A45" s="5">
        <v>41</v>
      </c>
      <c r="B45" s="5" t="s">
        <v>31</v>
      </c>
      <c r="C45" s="156" t="s">
        <v>32</v>
      </c>
      <c r="D45" s="6">
        <v>16</v>
      </c>
      <c r="E45" s="6">
        <v>8070</v>
      </c>
      <c r="F45" s="6">
        <v>1800</v>
      </c>
      <c r="G45" s="8" t="s">
        <v>33</v>
      </c>
      <c r="H45" s="5">
        <v>1</v>
      </c>
      <c r="I45" s="50">
        <f t="shared" si="0"/>
        <v>1824.4656</v>
      </c>
      <c r="J45" s="13" t="s">
        <v>34</v>
      </c>
    </row>
    <row r="46" ht="16.5" spans="1:10">
      <c r="A46" s="5">
        <v>42</v>
      </c>
      <c r="B46" s="5" t="s">
        <v>31</v>
      </c>
      <c r="C46" s="156" t="s">
        <v>32</v>
      </c>
      <c r="D46" s="6">
        <v>16</v>
      </c>
      <c r="E46" s="6">
        <v>8090</v>
      </c>
      <c r="F46" s="6">
        <v>1800</v>
      </c>
      <c r="G46" s="8" t="s">
        <v>33</v>
      </c>
      <c r="H46" s="5">
        <v>1</v>
      </c>
      <c r="I46" s="50">
        <f t="shared" si="0"/>
        <v>1828.9872</v>
      </c>
      <c r="J46" s="13" t="s">
        <v>34</v>
      </c>
    </row>
    <row r="47" ht="16.5" spans="1:10">
      <c r="A47" s="5">
        <v>43</v>
      </c>
      <c r="B47" s="5" t="s">
        <v>31</v>
      </c>
      <c r="C47" s="156" t="s">
        <v>32</v>
      </c>
      <c r="D47" s="6">
        <v>16</v>
      </c>
      <c r="E47" s="6">
        <v>10120</v>
      </c>
      <c r="F47" s="6">
        <v>1730</v>
      </c>
      <c r="G47" s="8" t="s">
        <v>33</v>
      </c>
      <c r="H47" s="5">
        <v>1</v>
      </c>
      <c r="I47" s="50">
        <f t="shared" si="0"/>
        <v>2198.95456</v>
      </c>
      <c r="J47" s="13" t="s">
        <v>34</v>
      </c>
    </row>
    <row r="48" ht="16.5" spans="1:10">
      <c r="A48" s="5">
        <v>44</v>
      </c>
      <c r="B48" s="5" t="s">
        <v>31</v>
      </c>
      <c r="C48" s="156" t="s">
        <v>32</v>
      </c>
      <c r="D48" s="6">
        <v>16</v>
      </c>
      <c r="E48" s="6">
        <v>8150</v>
      </c>
      <c r="F48" s="6">
        <v>1650</v>
      </c>
      <c r="G48" s="8" t="s">
        <v>33</v>
      </c>
      <c r="H48" s="5">
        <v>1</v>
      </c>
      <c r="I48" s="50">
        <f t="shared" si="0"/>
        <v>1689.006</v>
      </c>
      <c r="J48" s="13" t="s">
        <v>34</v>
      </c>
    </row>
    <row r="49" ht="16.5" spans="1:10">
      <c r="A49" s="5">
        <v>45</v>
      </c>
      <c r="B49" s="5" t="s">
        <v>31</v>
      </c>
      <c r="C49" s="156" t="s">
        <v>32</v>
      </c>
      <c r="D49" s="6">
        <v>16</v>
      </c>
      <c r="E49" s="6">
        <v>8150</v>
      </c>
      <c r="F49" s="6">
        <v>1650</v>
      </c>
      <c r="G49" s="8" t="s">
        <v>33</v>
      </c>
      <c r="H49" s="5">
        <v>1</v>
      </c>
      <c r="I49" s="50">
        <f t="shared" si="0"/>
        <v>1689.006</v>
      </c>
      <c r="J49" s="13" t="s">
        <v>34</v>
      </c>
    </row>
    <row r="50" ht="16.5" spans="1:10">
      <c r="A50" s="5">
        <v>46</v>
      </c>
      <c r="B50" s="5" t="s">
        <v>31</v>
      </c>
      <c r="C50" s="156" t="s">
        <v>32</v>
      </c>
      <c r="D50" s="6">
        <v>16</v>
      </c>
      <c r="E50" s="6">
        <v>8160</v>
      </c>
      <c r="F50" s="6">
        <v>1650</v>
      </c>
      <c r="G50" s="8" t="s">
        <v>33</v>
      </c>
      <c r="H50" s="5">
        <v>1</v>
      </c>
      <c r="I50" s="50">
        <f t="shared" si="0"/>
        <v>1691.0784</v>
      </c>
      <c r="J50" s="13" t="s">
        <v>34</v>
      </c>
    </row>
    <row r="51" ht="16.5" spans="1:10">
      <c r="A51" s="5">
        <v>47</v>
      </c>
      <c r="B51" s="5" t="s">
        <v>31</v>
      </c>
      <c r="C51" s="156" t="s">
        <v>32</v>
      </c>
      <c r="D51" s="6">
        <v>16</v>
      </c>
      <c r="E51" s="6">
        <v>8140</v>
      </c>
      <c r="F51" s="6">
        <v>1620</v>
      </c>
      <c r="G51" s="8" t="s">
        <v>33</v>
      </c>
      <c r="H51" s="5">
        <v>1</v>
      </c>
      <c r="I51" s="50">
        <f t="shared" si="0"/>
        <v>1656.26208</v>
      </c>
      <c r="J51" s="13" t="s">
        <v>34</v>
      </c>
    </row>
    <row r="52" ht="16.5" spans="1:10">
      <c r="A52" s="5">
        <v>48</v>
      </c>
      <c r="B52" s="5" t="s">
        <v>31</v>
      </c>
      <c r="C52" s="156" t="s">
        <v>32</v>
      </c>
      <c r="D52" s="6">
        <v>16</v>
      </c>
      <c r="E52" s="6">
        <v>8140</v>
      </c>
      <c r="F52" s="6">
        <v>1620</v>
      </c>
      <c r="G52" s="8" t="s">
        <v>33</v>
      </c>
      <c r="H52" s="5">
        <v>1</v>
      </c>
      <c r="I52" s="50">
        <f t="shared" si="0"/>
        <v>1656.26208</v>
      </c>
      <c r="J52" s="13" t="s">
        <v>34</v>
      </c>
    </row>
    <row r="53" ht="16.5" spans="1:10">
      <c r="A53" s="5">
        <v>49</v>
      </c>
      <c r="B53" s="5" t="s">
        <v>31</v>
      </c>
      <c r="C53" s="156" t="s">
        <v>32</v>
      </c>
      <c r="D53" s="6">
        <v>16</v>
      </c>
      <c r="E53" s="6">
        <v>8080</v>
      </c>
      <c r="F53" s="6">
        <v>1590</v>
      </c>
      <c r="G53" s="8" t="s">
        <v>33</v>
      </c>
      <c r="H53" s="5">
        <v>1</v>
      </c>
      <c r="I53" s="50">
        <f t="shared" si="0"/>
        <v>1613.60832</v>
      </c>
      <c r="J53" s="13" t="s">
        <v>34</v>
      </c>
    </row>
    <row r="54" ht="16.5" spans="1:10">
      <c r="A54" s="5">
        <v>50</v>
      </c>
      <c r="B54" s="5" t="s">
        <v>31</v>
      </c>
      <c r="C54" s="156" t="s">
        <v>32</v>
      </c>
      <c r="D54" s="6">
        <v>16</v>
      </c>
      <c r="E54" s="6">
        <v>9930</v>
      </c>
      <c r="F54" s="6">
        <v>1670</v>
      </c>
      <c r="G54" s="8" t="s">
        <v>33</v>
      </c>
      <c r="H54" s="5">
        <v>1</v>
      </c>
      <c r="I54" s="157">
        <f t="shared" si="0"/>
        <v>2082.83736</v>
      </c>
      <c r="J54" s="13" t="s">
        <v>35</v>
      </c>
    </row>
    <row r="55" ht="16.5" spans="1:10">
      <c r="A55" s="5">
        <v>51</v>
      </c>
      <c r="B55" s="5" t="s">
        <v>31</v>
      </c>
      <c r="C55" s="156" t="s">
        <v>32</v>
      </c>
      <c r="D55" s="6">
        <v>16</v>
      </c>
      <c r="E55" s="6">
        <v>7670</v>
      </c>
      <c r="F55" s="6">
        <v>1880</v>
      </c>
      <c r="G55" s="8" t="s">
        <v>33</v>
      </c>
      <c r="H55" s="5">
        <v>1</v>
      </c>
      <c r="I55" s="157">
        <f t="shared" si="0"/>
        <v>1811.10176</v>
      </c>
      <c r="J55" s="13" t="s">
        <v>35</v>
      </c>
    </row>
    <row r="56" ht="16.5" spans="1:10">
      <c r="A56" s="5">
        <v>52</v>
      </c>
      <c r="B56" s="5" t="s">
        <v>31</v>
      </c>
      <c r="C56" s="156" t="s">
        <v>32</v>
      </c>
      <c r="D56" s="6">
        <v>16</v>
      </c>
      <c r="E56" s="6">
        <v>7670</v>
      </c>
      <c r="F56" s="6">
        <v>1890</v>
      </c>
      <c r="G56" s="8" t="s">
        <v>33</v>
      </c>
      <c r="H56" s="5">
        <v>1</v>
      </c>
      <c r="I56" s="157">
        <f t="shared" si="0"/>
        <v>1820.73528</v>
      </c>
      <c r="J56" s="13" t="s">
        <v>35</v>
      </c>
    </row>
    <row r="57" ht="16.5" spans="1:10">
      <c r="A57" s="5">
        <v>53</v>
      </c>
      <c r="B57" s="5" t="s">
        <v>31</v>
      </c>
      <c r="C57" s="156" t="s">
        <v>32</v>
      </c>
      <c r="D57" s="6">
        <v>16</v>
      </c>
      <c r="E57" s="6">
        <v>7540</v>
      </c>
      <c r="F57" s="6">
        <v>1550</v>
      </c>
      <c r="G57" s="8" t="s">
        <v>33</v>
      </c>
      <c r="H57" s="5">
        <v>1</v>
      </c>
      <c r="I57" s="157">
        <f t="shared" si="0"/>
        <v>1467.8872</v>
      </c>
      <c r="J57" s="13" t="s">
        <v>35</v>
      </c>
    </row>
    <row r="58" ht="16.5" spans="1:10">
      <c r="A58" s="5">
        <v>54</v>
      </c>
      <c r="B58" s="5" t="s">
        <v>31</v>
      </c>
      <c r="C58" s="156" t="s">
        <v>32</v>
      </c>
      <c r="D58" s="6">
        <v>16</v>
      </c>
      <c r="E58" s="6">
        <v>7220</v>
      </c>
      <c r="F58" s="6">
        <v>1920</v>
      </c>
      <c r="G58" s="8" t="s">
        <v>33</v>
      </c>
      <c r="H58" s="5">
        <v>1</v>
      </c>
      <c r="I58" s="157">
        <f t="shared" si="0"/>
        <v>1741.11744</v>
      </c>
      <c r="J58" s="13" t="s">
        <v>35</v>
      </c>
    </row>
    <row r="59" ht="16.5" spans="1:10">
      <c r="A59" s="5">
        <v>55</v>
      </c>
      <c r="B59" s="5" t="s">
        <v>31</v>
      </c>
      <c r="C59" s="156" t="s">
        <v>32</v>
      </c>
      <c r="D59" s="6">
        <v>16</v>
      </c>
      <c r="E59" s="6">
        <v>7219.99999999999</v>
      </c>
      <c r="F59" s="6">
        <v>1870</v>
      </c>
      <c r="G59" s="8" t="s">
        <v>33</v>
      </c>
      <c r="H59" s="5">
        <v>1</v>
      </c>
      <c r="I59" s="157">
        <f t="shared" si="0"/>
        <v>1695.77584</v>
      </c>
      <c r="J59" s="13" t="s">
        <v>35</v>
      </c>
    </row>
    <row r="60" ht="16.5" spans="1:10">
      <c r="A60" s="5">
        <v>56</v>
      </c>
      <c r="B60" s="5" t="s">
        <v>31</v>
      </c>
      <c r="C60" s="156" t="s">
        <v>32</v>
      </c>
      <c r="D60" s="6">
        <v>16</v>
      </c>
      <c r="E60" s="6">
        <v>9990</v>
      </c>
      <c r="F60" s="6">
        <v>1860</v>
      </c>
      <c r="G60" s="8" t="s">
        <v>33</v>
      </c>
      <c r="H60" s="5">
        <v>1</v>
      </c>
      <c r="I60" s="50">
        <f t="shared" si="0"/>
        <v>2333.82384</v>
      </c>
      <c r="J60" s="13" t="s">
        <v>36</v>
      </c>
    </row>
    <row r="61" ht="16.5" spans="1:10">
      <c r="A61" s="5">
        <v>57</v>
      </c>
      <c r="B61" s="5" t="s">
        <v>31</v>
      </c>
      <c r="C61" s="156" t="s">
        <v>32</v>
      </c>
      <c r="D61" s="6">
        <v>16</v>
      </c>
      <c r="E61" s="6">
        <v>8300</v>
      </c>
      <c r="F61" s="6">
        <v>1860</v>
      </c>
      <c r="G61" s="8" t="s">
        <v>33</v>
      </c>
      <c r="H61" s="5">
        <v>1</v>
      </c>
      <c r="I61" s="50">
        <f t="shared" si="0"/>
        <v>1939.0128</v>
      </c>
      <c r="J61" s="13" t="s">
        <v>36</v>
      </c>
    </row>
    <row r="62" ht="16.5" spans="1:10">
      <c r="A62" s="5">
        <v>58</v>
      </c>
      <c r="B62" s="5" t="s">
        <v>31</v>
      </c>
      <c r="C62" s="156" t="s">
        <v>32</v>
      </c>
      <c r="D62" s="6">
        <v>16</v>
      </c>
      <c r="E62" s="6">
        <v>8220</v>
      </c>
      <c r="F62" s="6">
        <v>1805</v>
      </c>
      <c r="G62" s="8" t="s">
        <v>33</v>
      </c>
      <c r="H62" s="5">
        <v>1</v>
      </c>
      <c r="I62" s="50">
        <f t="shared" si="0"/>
        <v>1863.53976</v>
      </c>
      <c r="J62" s="13" t="s">
        <v>36</v>
      </c>
    </row>
    <row r="63" ht="16.5" spans="1:10">
      <c r="A63" s="5">
        <v>59</v>
      </c>
      <c r="B63" s="5" t="s">
        <v>31</v>
      </c>
      <c r="C63" s="156" t="s">
        <v>32</v>
      </c>
      <c r="D63" s="6">
        <v>16</v>
      </c>
      <c r="E63" s="6">
        <v>8220</v>
      </c>
      <c r="F63" s="6">
        <v>1805</v>
      </c>
      <c r="G63" s="8" t="s">
        <v>33</v>
      </c>
      <c r="H63" s="5">
        <v>1</v>
      </c>
      <c r="I63" s="50">
        <f t="shared" si="0"/>
        <v>1863.53976</v>
      </c>
      <c r="J63" s="13" t="s">
        <v>36</v>
      </c>
    </row>
    <row r="64" ht="16.5" spans="1:10">
      <c r="A64" s="5">
        <v>60</v>
      </c>
      <c r="B64" s="5" t="s">
        <v>31</v>
      </c>
      <c r="C64" s="156" t="s">
        <v>32</v>
      </c>
      <c r="D64" s="6">
        <v>16</v>
      </c>
      <c r="E64" s="6">
        <v>8190</v>
      </c>
      <c r="F64" s="6">
        <v>1800</v>
      </c>
      <c r="G64" s="8" t="s">
        <v>33</v>
      </c>
      <c r="H64" s="5">
        <v>1</v>
      </c>
      <c r="I64" s="50">
        <f t="shared" si="0"/>
        <v>1851.5952</v>
      </c>
      <c r="J64" s="13" t="s">
        <v>36</v>
      </c>
    </row>
    <row r="65" ht="16.5" spans="1:10">
      <c r="A65" s="5">
        <v>61</v>
      </c>
      <c r="B65" s="5" t="s">
        <v>31</v>
      </c>
      <c r="C65" s="156" t="s">
        <v>32</v>
      </c>
      <c r="D65" s="6">
        <v>16</v>
      </c>
      <c r="E65" s="6">
        <v>8120</v>
      </c>
      <c r="F65" s="6">
        <v>1850</v>
      </c>
      <c r="G65" s="8" t="s">
        <v>33</v>
      </c>
      <c r="H65" s="5">
        <v>1</v>
      </c>
      <c r="I65" s="50">
        <f t="shared" si="0"/>
        <v>1886.7632</v>
      </c>
      <c r="J65" s="13" t="s">
        <v>36</v>
      </c>
    </row>
    <row r="66" ht="16.5" spans="1:10">
      <c r="A66" s="5">
        <v>62</v>
      </c>
      <c r="B66" s="5" t="s">
        <v>31</v>
      </c>
      <c r="C66" s="156" t="s">
        <v>32</v>
      </c>
      <c r="D66" s="6">
        <v>16</v>
      </c>
      <c r="E66" s="6">
        <v>7960</v>
      </c>
      <c r="F66" s="6">
        <v>1850</v>
      </c>
      <c r="G66" s="8" t="s">
        <v>33</v>
      </c>
      <c r="H66" s="5">
        <v>1</v>
      </c>
      <c r="I66" s="50">
        <f t="shared" si="0"/>
        <v>1849.5856</v>
      </c>
      <c r="J66" s="13" t="s">
        <v>36</v>
      </c>
    </row>
    <row r="67" ht="16.5" spans="1:10">
      <c r="A67" s="5">
        <v>63</v>
      </c>
      <c r="B67" s="5" t="s">
        <v>31</v>
      </c>
      <c r="C67" s="156" t="s">
        <v>32</v>
      </c>
      <c r="D67" s="6">
        <v>16</v>
      </c>
      <c r="E67" s="6">
        <v>7890</v>
      </c>
      <c r="F67" s="6">
        <v>1790</v>
      </c>
      <c r="G67" s="8" t="s">
        <v>33</v>
      </c>
      <c r="H67" s="5">
        <v>1</v>
      </c>
      <c r="I67" s="50">
        <f t="shared" si="0"/>
        <v>1773.86136</v>
      </c>
      <c r="J67" s="13" t="s">
        <v>36</v>
      </c>
    </row>
    <row r="68" ht="16.5" spans="1:10">
      <c r="A68" s="5">
        <v>64</v>
      </c>
      <c r="B68" s="5" t="s">
        <v>31</v>
      </c>
      <c r="C68" s="156" t="s">
        <v>32</v>
      </c>
      <c r="D68" s="6">
        <v>16</v>
      </c>
      <c r="E68" s="6">
        <v>7900</v>
      </c>
      <c r="F68" s="6">
        <v>1850</v>
      </c>
      <c r="G68" s="8" t="s">
        <v>33</v>
      </c>
      <c r="H68" s="5">
        <v>1</v>
      </c>
      <c r="I68" s="50">
        <f t="shared" si="0"/>
        <v>1835.644</v>
      </c>
      <c r="J68" s="13" t="s">
        <v>36</v>
      </c>
    </row>
    <row r="69" ht="16.5" spans="1:10">
      <c r="A69" s="5">
        <v>65</v>
      </c>
      <c r="B69" s="5" t="s">
        <v>31</v>
      </c>
      <c r="C69" s="156" t="s">
        <v>32</v>
      </c>
      <c r="D69" s="6">
        <v>16</v>
      </c>
      <c r="E69" s="6">
        <v>7870</v>
      </c>
      <c r="F69" s="6">
        <v>1810</v>
      </c>
      <c r="G69" s="8" t="s">
        <v>33</v>
      </c>
      <c r="H69" s="5">
        <v>1</v>
      </c>
      <c r="I69" s="50">
        <f t="shared" ref="I69:I85" si="1">D69*E69*F69*H69*7.85/1000000</f>
        <v>1789.13432</v>
      </c>
      <c r="J69" s="13" t="s">
        <v>36</v>
      </c>
    </row>
    <row r="70" ht="16.5" spans="1:10">
      <c r="A70" s="5">
        <v>66</v>
      </c>
      <c r="B70" s="5" t="s">
        <v>31</v>
      </c>
      <c r="C70" s="156" t="s">
        <v>32</v>
      </c>
      <c r="D70" s="6">
        <v>16</v>
      </c>
      <c r="E70" s="6">
        <v>7870</v>
      </c>
      <c r="F70" s="6">
        <v>1800</v>
      </c>
      <c r="G70" s="8" t="s">
        <v>33</v>
      </c>
      <c r="H70" s="5">
        <v>1</v>
      </c>
      <c r="I70" s="50">
        <f t="shared" si="1"/>
        <v>1779.2496</v>
      </c>
      <c r="J70" s="13" t="s">
        <v>36</v>
      </c>
    </row>
    <row r="71" ht="16.5" spans="1:10">
      <c r="A71" s="5">
        <v>67</v>
      </c>
      <c r="B71" s="5" t="s">
        <v>31</v>
      </c>
      <c r="C71" s="156" t="s">
        <v>32</v>
      </c>
      <c r="D71" s="6">
        <v>16</v>
      </c>
      <c r="E71" s="6">
        <v>7820</v>
      </c>
      <c r="F71" s="6">
        <v>1800</v>
      </c>
      <c r="G71" s="8" t="s">
        <v>33</v>
      </c>
      <c r="H71" s="5">
        <v>1</v>
      </c>
      <c r="I71" s="50">
        <f t="shared" si="1"/>
        <v>1767.9456</v>
      </c>
      <c r="J71" s="13" t="s">
        <v>36</v>
      </c>
    </row>
    <row r="72" ht="16.5" spans="1:10">
      <c r="A72" s="5">
        <v>68</v>
      </c>
      <c r="B72" s="5" t="s">
        <v>31</v>
      </c>
      <c r="C72" s="156" t="s">
        <v>32</v>
      </c>
      <c r="D72" s="6">
        <v>16</v>
      </c>
      <c r="E72" s="6">
        <v>7820</v>
      </c>
      <c r="F72" s="6">
        <v>1800</v>
      </c>
      <c r="G72" s="8" t="s">
        <v>33</v>
      </c>
      <c r="H72" s="5">
        <v>1</v>
      </c>
      <c r="I72" s="50">
        <f t="shared" si="1"/>
        <v>1767.9456</v>
      </c>
      <c r="J72" s="13" t="s">
        <v>36</v>
      </c>
    </row>
    <row r="73" ht="16.5" spans="1:10">
      <c r="A73" s="5">
        <v>69</v>
      </c>
      <c r="B73" s="5" t="s">
        <v>31</v>
      </c>
      <c r="C73" s="156" t="s">
        <v>32</v>
      </c>
      <c r="D73" s="6">
        <v>16</v>
      </c>
      <c r="E73" s="6">
        <v>7800</v>
      </c>
      <c r="F73" s="6">
        <v>1850</v>
      </c>
      <c r="G73" s="8" t="s">
        <v>33</v>
      </c>
      <c r="H73" s="5">
        <v>1</v>
      </c>
      <c r="I73" s="50">
        <f t="shared" si="1"/>
        <v>1812.408</v>
      </c>
      <c r="J73" s="13" t="s">
        <v>36</v>
      </c>
    </row>
    <row r="74" ht="16.5" spans="1:10">
      <c r="A74" s="5">
        <v>70</v>
      </c>
      <c r="B74" s="5" t="s">
        <v>31</v>
      </c>
      <c r="C74" s="156" t="s">
        <v>32</v>
      </c>
      <c r="D74" s="6">
        <v>16</v>
      </c>
      <c r="E74" s="6">
        <v>7720</v>
      </c>
      <c r="F74" s="6">
        <v>1820</v>
      </c>
      <c r="G74" s="8" t="s">
        <v>33</v>
      </c>
      <c r="H74" s="5">
        <v>1</v>
      </c>
      <c r="I74" s="50">
        <f t="shared" si="1"/>
        <v>1764.73024</v>
      </c>
      <c r="J74" s="13" t="s">
        <v>36</v>
      </c>
    </row>
    <row r="75" ht="16.5" spans="1:10">
      <c r="A75" s="5">
        <v>71</v>
      </c>
      <c r="B75" s="5" t="s">
        <v>31</v>
      </c>
      <c r="C75" s="156" t="s">
        <v>32</v>
      </c>
      <c r="D75" s="6">
        <v>16</v>
      </c>
      <c r="E75" s="6">
        <v>7540</v>
      </c>
      <c r="F75" s="6">
        <v>1790</v>
      </c>
      <c r="G75" s="8" t="s">
        <v>33</v>
      </c>
      <c r="H75" s="5">
        <v>1</v>
      </c>
      <c r="I75" s="50">
        <f t="shared" si="1"/>
        <v>1695.17296</v>
      </c>
      <c r="J75" s="13" t="s">
        <v>36</v>
      </c>
    </row>
    <row r="76" ht="16.5" spans="1:10">
      <c r="A76" s="5">
        <v>72</v>
      </c>
      <c r="B76" s="5" t="s">
        <v>31</v>
      </c>
      <c r="C76" s="156" t="s">
        <v>32</v>
      </c>
      <c r="D76" s="6">
        <v>16</v>
      </c>
      <c r="E76" s="6">
        <v>7490</v>
      </c>
      <c r="F76" s="6">
        <v>1800</v>
      </c>
      <c r="G76" s="8" t="s">
        <v>33</v>
      </c>
      <c r="H76" s="5">
        <v>1</v>
      </c>
      <c r="I76" s="50">
        <f t="shared" si="1"/>
        <v>1693.3392</v>
      </c>
      <c r="J76" s="13" t="s">
        <v>36</v>
      </c>
    </row>
    <row r="77" ht="16.5" spans="1:10">
      <c r="A77" s="5">
        <v>73</v>
      </c>
      <c r="B77" s="5" t="s">
        <v>31</v>
      </c>
      <c r="C77" s="156" t="s">
        <v>32</v>
      </c>
      <c r="D77" s="6">
        <v>16</v>
      </c>
      <c r="E77" s="6">
        <v>7470</v>
      </c>
      <c r="F77" s="6">
        <v>1800</v>
      </c>
      <c r="G77" s="8" t="s">
        <v>33</v>
      </c>
      <c r="H77" s="5">
        <v>1</v>
      </c>
      <c r="I77" s="50">
        <f t="shared" si="1"/>
        <v>1688.8176</v>
      </c>
      <c r="J77" s="13" t="s">
        <v>36</v>
      </c>
    </row>
    <row r="78" ht="16.5" spans="1:10">
      <c r="A78" s="5">
        <v>74</v>
      </c>
      <c r="B78" s="5" t="s">
        <v>31</v>
      </c>
      <c r="C78" s="156" t="s">
        <v>32</v>
      </c>
      <c r="D78" s="6">
        <v>16</v>
      </c>
      <c r="E78" s="6">
        <v>7470</v>
      </c>
      <c r="F78" s="6">
        <v>1760</v>
      </c>
      <c r="G78" s="8" t="s">
        <v>33</v>
      </c>
      <c r="H78" s="5">
        <v>1</v>
      </c>
      <c r="I78" s="50">
        <f t="shared" si="1"/>
        <v>1651.28832</v>
      </c>
      <c r="J78" s="13" t="s">
        <v>36</v>
      </c>
    </row>
    <row r="79" ht="16.5" spans="1:10">
      <c r="A79" s="5">
        <v>75</v>
      </c>
      <c r="B79" s="5" t="s">
        <v>31</v>
      </c>
      <c r="C79" s="156" t="s">
        <v>32</v>
      </c>
      <c r="D79" s="6">
        <v>12</v>
      </c>
      <c r="E79" s="6">
        <v>6870</v>
      </c>
      <c r="F79" s="6">
        <v>1960</v>
      </c>
      <c r="G79" s="8" t="s">
        <v>33</v>
      </c>
      <c r="H79" s="5">
        <v>2</v>
      </c>
      <c r="I79" s="50">
        <f t="shared" si="1"/>
        <v>2536.84368</v>
      </c>
      <c r="J79" s="13" t="s">
        <v>15</v>
      </c>
    </row>
    <row r="80" ht="16.5" spans="1:10">
      <c r="A80" s="5">
        <v>76</v>
      </c>
      <c r="B80" s="5" t="s">
        <v>31</v>
      </c>
      <c r="C80" s="156" t="s">
        <v>32</v>
      </c>
      <c r="D80" s="6">
        <v>12</v>
      </c>
      <c r="E80" s="6">
        <v>12520</v>
      </c>
      <c r="F80" s="6">
        <v>1950</v>
      </c>
      <c r="G80" s="8" t="s">
        <v>33</v>
      </c>
      <c r="H80" s="5">
        <v>2</v>
      </c>
      <c r="I80" s="50">
        <f t="shared" si="1"/>
        <v>4599.5976</v>
      </c>
      <c r="J80" s="13" t="s">
        <v>16</v>
      </c>
    </row>
    <row r="81" ht="16.5" spans="1:10">
      <c r="A81" s="5">
        <v>77</v>
      </c>
      <c r="B81" s="5" t="s">
        <v>31</v>
      </c>
      <c r="C81" s="156" t="s">
        <v>32</v>
      </c>
      <c r="D81" s="6">
        <v>12</v>
      </c>
      <c r="E81" s="6">
        <v>9640</v>
      </c>
      <c r="F81" s="6">
        <v>1780</v>
      </c>
      <c r="G81" s="8" t="s">
        <v>33</v>
      </c>
      <c r="H81" s="5">
        <v>1</v>
      </c>
      <c r="I81" s="50">
        <f t="shared" si="1"/>
        <v>1616.39664</v>
      </c>
      <c r="J81" s="13" t="s">
        <v>17</v>
      </c>
    </row>
    <row r="82" ht="16.5" spans="1:10">
      <c r="A82" s="5">
        <v>78</v>
      </c>
      <c r="B82" s="5" t="s">
        <v>31</v>
      </c>
      <c r="C82" s="156" t="s">
        <v>32</v>
      </c>
      <c r="D82" s="6">
        <v>16</v>
      </c>
      <c r="E82" s="6">
        <f>(116000+112000+5000-7000)/4/5</f>
        <v>11300</v>
      </c>
      <c r="F82" s="6">
        <v>1950</v>
      </c>
      <c r="G82" s="8" t="s">
        <v>33</v>
      </c>
      <c r="H82" s="5">
        <v>5</v>
      </c>
      <c r="I82" s="50">
        <f t="shared" si="1"/>
        <v>13837.98</v>
      </c>
      <c r="J82" s="13" t="s">
        <v>19</v>
      </c>
    </row>
    <row r="83" ht="16.5" spans="1:10">
      <c r="A83" s="5">
        <v>79</v>
      </c>
      <c r="B83" s="5" t="s">
        <v>31</v>
      </c>
      <c r="C83" s="156" t="s">
        <v>32</v>
      </c>
      <c r="D83" s="6">
        <v>16</v>
      </c>
      <c r="E83" s="60">
        <f>(455838+2000)/5/9</f>
        <v>10174.1777777778</v>
      </c>
      <c r="F83" s="6">
        <v>1720</v>
      </c>
      <c r="G83" s="8" t="s">
        <v>33</v>
      </c>
      <c r="H83" s="5">
        <v>9</v>
      </c>
      <c r="I83" s="50">
        <f t="shared" si="1"/>
        <v>19781.5317632</v>
      </c>
      <c r="J83" s="13" t="s">
        <v>14</v>
      </c>
    </row>
    <row r="84" ht="16.5" spans="1:10">
      <c r="A84" s="5">
        <v>80</v>
      </c>
      <c r="B84" s="5" t="s">
        <v>31</v>
      </c>
      <c r="C84" s="156" t="s">
        <v>37</v>
      </c>
      <c r="D84" s="6">
        <v>16</v>
      </c>
      <c r="E84" s="6">
        <v>1800</v>
      </c>
      <c r="F84" s="6">
        <v>11230</v>
      </c>
      <c r="G84" s="8" t="s">
        <v>33</v>
      </c>
      <c r="H84" s="5">
        <v>1</v>
      </c>
      <c r="I84" s="157">
        <f t="shared" si="1"/>
        <v>2538.8784</v>
      </c>
      <c r="J84" s="13" t="s">
        <v>38</v>
      </c>
    </row>
    <row r="85" ht="16.5" spans="1:10">
      <c r="A85" s="5">
        <v>81</v>
      </c>
      <c r="B85" s="5" t="s">
        <v>31</v>
      </c>
      <c r="C85" s="156" t="s">
        <v>39</v>
      </c>
      <c r="D85" s="6">
        <v>16</v>
      </c>
      <c r="E85" s="6">
        <v>1990</v>
      </c>
      <c r="F85" s="6">
        <v>10200</v>
      </c>
      <c r="G85" s="8" t="s">
        <v>33</v>
      </c>
      <c r="H85" s="5">
        <v>1</v>
      </c>
      <c r="I85" s="157">
        <f t="shared" si="1"/>
        <v>2549.4288</v>
      </c>
      <c r="J85" s="13" t="s">
        <v>38</v>
      </c>
    </row>
    <row r="86" ht="16.5" spans="1:11">
      <c r="A86" s="5" t="s">
        <v>40</v>
      </c>
      <c r="B86" s="5"/>
      <c r="C86" s="5"/>
      <c r="D86" s="5"/>
      <c r="E86" s="5"/>
      <c r="F86" s="5"/>
      <c r="G86" s="5"/>
      <c r="H86" s="5"/>
      <c r="I86" s="50">
        <f>SUM(I5:I85)</f>
        <v>183974.2920832</v>
      </c>
      <c r="J86" s="13"/>
      <c r="K86">
        <v>175711.76</v>
      </c>
    </row>
    <row r="87" ht="16.5" spans="1:10">
      <c r="A87" s="22" t="s">
        <v>41</v>
      </c>
      <c r="B87" s="22"/>
      <c r="C87" s="22"/>
      <c r="D87" s="22"/>
      <c r="E87" s="22"/>
      <c r="F87" s="22"/>
      <c r="G87" s="22"/>
      <c r="H87" s="22"/>
      <c r="I87" s="22"/>
      <c r="J87" s="22"/>
    </row>
    <row r="88" ht="16.5" spans="1:10">
      <c r="A88" s="22" t="s">
        <v>45</v>
      </c>
      <c r="B88" s="22"/>
      <c r="C88" s="22"/>
      <c r="D88" s="22"/>
      <c r="E88" s="22"/>
      <c r="F88" s="22"/>
      <c r="G88" s="22"/>
      <c r="H88" s="22"/>
      <c r="I88" s="22"/>
      <c r="J88" s="22"/>
    </row>
    <row r="89" ht="16.5" spans="1:10">
      <c r="A89" s="16" t="s">
        <v>43</v>
      </c>
      <c r="B89" s="16"/>
      <c r="C89" s="16"/>
      <c r="D89" s="16"/>
      <c r="E89" s="16"/>
      <c r="F89" s="16"/>
      <c r="G89" s="16"/>
      <c r="H89" s="16"/>
      <c r="I89" s="16"/>
      <c r="J89" s="16"/>
    </row>
  </sheetData>
  <autoFilter ref="A4:L89">
    <extLst/>
  </autoFilter>
  <mergeCells count="6">
    <mergeCell ref="A1:J1"/>
    <mergeCell ref="A2:F2"/>
    <mergeCell ref="A86:H86"/>
    <mergeCell ref="A87:J87"/>
    <mergeCell ref="A88:J88"/>
    <mergeCell ref="A89:J89"/>
  </mergeCells>
  <pageMargins left="0.75" right="0.75" top="1" bottom="1" header="0.5" footer="0.5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0"/>
  <dimension ref="A1:T51"/>
  <sheetViews>
    <sheetView workbookViewId="0">
      <selection activeCell="T1" sqref="O$1:T$1048576"/>
    </sheetView>
  </sheetViews>
  <sheetFormatPr defaultColWidth="9" defaultRowHeight="13.5"/>
  <cols>
    <col min="1" max="1" width="7.375" customWidth="1"/>
    <col min="2" max="2" width="7.875" customWidth="1"/>
    <col min="3" max="3" width="10.3416666666667" customWidth="1"/>
    <col min="4" max="4" width="8.375" customWidth="1"/>
    <col min="5" max="5" width="9.125" customWidth="1"/>
    <col min="6" max="6" width="8.875" customWidth="1"/>
    <col min="7" max="7" width="6.875" customWidth="1"/>
    <col min="8" max="8" width="7.625" customWidth="1"/>
    <col min="9" max="9" width="10.875" style="14" customWidth="1"/>
    <col min="10" max="10" width="10.625" customWidth="1"/>
    <col min="11" max="12" width="14.3416666666667" hidden="1" customWidth="1"/>
    <col min="13" max="13" width="10.175" hidden="1" customWidth="1"/>
    <col min="14" max="14" width="6.24166666666667" hidden="1" customWidth="1"/>
    <col min="15" max="15" width="11.5" hidden="1" customWidth="1"/>
    <col min="16" max="20" width="9" hidden="1" customWidth="1"/>
  </cols>
  <sheetData>
    <row r="1" ht="28.5" customHeight="1" spans="1:14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  <c r="K1" s="24"/>
      <c r="L1" s="24"/>
      <c r="M1" s="24"/>
      <c r="N1" s="24"/>
    </row>
    <row r="2" ht="28.5" customHeight="1" spans="1:14">
      <c r="A2" s="15" t="s">
        <v>20</v>
      </c>
      <c r="B2" s="15"/>
      <c r="C2" s="15"/>
      <c r="D2" s="15"/>
      <c r="E2" s="15"/>
      <c r="F2" s="15"/>
      <c r="G2" s="15"/>
      <c r="H2" s="15"/>
      <c r="I2" s="23"/>
      <c r="J2" s="15"/>
      <c r="K2" s="24"/>
      <c r="L2" s="24"/>
      <c r="M2" s="24"/>
      <c r="N2" s="24"/>
    </row>
    <row r="3" ht="22.5" customHeight="1" spans="1:14">
      <c r="A3" s="16" t="s">
        <v>21</v>
      </c>
      <c r="B3" s="17"/>
      <c r="C3" s="17"/>
      <c r="D3" s="17"/>
      <c r="E3" s="17"/>
      <c r="F3" s="17"/>
      <c r="G3" s="17"/>
      <c r="H3" s="17"/>
      <c r="I3" s="25"/>
      <c r="J3" s="26"/>
      <c r="K3" s="27"/>
      <c r="L3" s="27"/>
      <c r="M3" s="27"/>
      <c r="N3" s="27"/>
    </row>
    <row r="4" ht="22.5" customHeight="1" spans="1:14">
      <c r="A4" s="18" t="s">
        <v>574</v>
      </c>
      <c r="B4" s="19"/>
      <c r="C4" s="19"/>
      <c r="D4" s="17"/>
      <c r="E4" s="19"/>
      <c r="F4" s="19"/>
      <c r="G4" s="17"/>
      <c r="H4" s="17"/>
      <c r="I4" s="28"/>
      <c r="J4" s="26"/>
      <c r="K4" s="27"/>
      <c r="L4" s="27"/>
      <c r="M4" s="27"/>
      <c r="N4" s="27"/>
    </row>
    <row r="5" ht="22.5" customHeight="1" spans="1:14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29" t="s">
        <v>29</v>
      </c>
      <c r="J5" s="11" t="s">
        <v>30</v>
      </c>
      <c r="K5" s="30"/>
      <c r="L5" s="30"/>
      <c r="M5" s="30"/>
      <c r="N5" s="30"/>
    </row>
    <row r="6" ht="22.5" customHeight="1" spans="1:14">
      <c r="A6" s="20">
        <v>1</v>
      </c>
      <c r="B6" s="20" t="s">
        <v>31</v>
      </c>
      <c r="C6" s="21" t="s">
        <v>32</v>
      </c>
      <c r="D6" s="35">
        <v>12</v>
      </c>
      <c r="E6" s="35">
        <v>1500</v>
      </c>
      <c r="F6" s="35">
        <v>8870</v>
      </c>
      <c r="G6" s="20" t="s">
        <v>33</v>
      </c>
      <c r="H6" s="35">
        <v>1</v>
      </c>
      <c r="I6" s="36">
        <f>H6*F6*E6*D6*7.85/1000000</f>
        <v>1253.331</v>
      </c>
      <c r="J6" s="35" t="s">
        <v>17</v>
      </c>
      <c r="K6" s="37" t="s">
        <v>575</v>
      </c>
      <c r="L6" s="8">
        <v>1</v>
      </c>
      <c r="M6" s="32"/>
      <c r="N6" s="32"/>
    </row>
    <row r="7" ht="22.5" customHeight="1" spans="1:14">
      <c r="A7" s="20">
        <v>2</v>
      </c>
      <c r="B7" s="20" t="s">
        <v>31</v>
      </c>
      <c r="C7" s="21" t="s">
        <v>32</v>
      </c>
      <c r="D7" s="35">
        <v>12</v>
      </c>
      <c r="E7" s="35">
        <v>1500</v>
      </c>
      <c r="F7" s="35">
        <v>10860</v>
      </c>
      <c r="G7" s="20" t="s">
        <v>33</v>
      </c>
      <c r="H7" s="35">
        <v>1</v>
      </c>
      <c r="I7" s="36">
        <f>H7*F7*E7*D7*7.85/1000000</f>
        <v>1534.518</v>
      </c>
      <c r="J7" s="38" t="s">
        <v>234</v>
      </c>
      <c r="K7" s="37" t="s">
        <v>576</v>
      </c>
      <c r="L7" s="8">
        <v>1</v>
      </c>
      <c r="M7" s="32"/>
      <c r="N7" s="32"/>
    </row>
    <row r="8" ht="22.5" customHeight="1" spans="1:14">
      <c r="A8" s="20">
        <v>3</v>
      </c>
      <c r="B8" s="20" t="s">
        <v>31</v>
      </c>
      <c r="C8" s="21" t="s">
        <v>32</v>
      </c>
      <c r="D8" s="35">
        <v>12</v>
      </c>
      <c r="E8" s="35">
        <f>1960+40</f>
        <v>2000</v>
      </c>
      <c r="F8" s="35">
        <v>10020</v>
      </c>
      <c r="G8" s="20" t="s">
        <v>33</v>
      </c>
      <c r="H8" s="35">
        <v>2</v>
      </c>
      <c r="I8" s="36">
        <f>H8*F8*E8*D8*7.85/1000000</f>
        <v>3775.536</v>
      </c>
      <c r="J8" s="35" t="s">
        <v>16</v>
      </c>
      <c r="K8" s="37" t="s">
        <v>577</v>
      </c>
      <c r="L8" s="8">
        <v>1</v>
      </c>
      <c r="M8" s="8" t="s">
        <v>578</v>
      </c>
      <c r="N8" s="8">
        <v>1</v>
      </c>
    </row>
    <row r="9" ht="22.5" customHeight="1" spans="1:15">
      <c r="A9" s="20">
        <v>4</v>
      </c>
      <c r="B9" s="20" t="s">
        <v>31</v>
      </c>
      <c r="C9" s="21" t="s">
        <v>32</v>
      </c>
      <c r="D9" s="8">
        <v>16</v>
      </c>
      <c r="E9" s="8">
        <v>1500</v>
      </c>
      <c r="F9" s="8">
        <v>6470</v>
      </c>
      <c r="G9" s="20" t="s">
        <v>33</v>
      </c>
      <c r="H9" s="8">
        <v>1</v>
      </c>
      <c r="I9" s="36">
        <f t="shared" ref="I9:I47" si="0">H9*F9*E9*D9*7.85/1000000</f>
        <v>1218.948</v>
      </c>
      <c r="J9" s="8" t="s">
        <v>11</v>
      </c>
      <c r="K9" s="32"/>
      <c r="L9" s="32"/>
      <c r="M9" s="32"/>
      <c r="N9" s="32"/>
      <c r="O9" s="33" t="s">
        <v>579</v>
      </c>
    </row>
    <row r="10" ht="22.5" customHeight="1" spans="1:16">
      <c r="A10" s="20">
        <v>5</v>
      </c>
      <c r="B10" s="20" t="s">
        <v>31</v>
      </c>
      <c r="C10" s="21" t="s">
        <v>32</v>
      </c>
      <c r="D10" s="8">
        <v>16</v>
      </c>
      <c r="E10" s="8">
        <v>1500</v>
      </c>
      <c r="F10" s="8">
        <v>6480</v>
      </c>
      <c r="G10" s="20" t="s">
        <v>33</v>
      </c>
      <c r="H10" s="8">
        <v>2</v>
      </c>
      <c r="I10" s="36">
        <f t="shared" si="0"/>
        <v>2441.664</v>
      </c>
      <c r="J10" s="8" t="s">
        <v>11</v>
      </c>
      <c r="K10" s="32"/>
      <c r="L10" s="32"/>
      <c r="M10" s="32"/>
      <c r="N10" s="32"/>
      <c r="O10" s="33" t="s">
        <v>580</v>
      </c>
      <c r="P10" s="33" t="s">
        <v>581</v>
      </c>
    </row>
    <row r="11" ht="22.5" customHeight="1" spans="1:15">
      <c r="A11" s="20">
        <v>6</v>
      </c>
      <c r="B11" s="20" t="s">
        <v>31</v>
      </c>
      <c r="C11" s="21" t="s">
        <v>32</v>
      </c>
      <c r="D11" s="8">
        <v>16</v>
      </c>
      <c r="E11" s="8">
        <v>1500</v>
      </c>
      <c r="F11" s="8">
        <v>7080</v>
      </c>
      <c r="G11" s="20" t="s">
        <v>33</v>
      </c>
      <c r="H11" s="8">
        <v>1</v>
      </c>
      <c r="I11" s="36">
        <f t="shared" si="0"/>
        <v>1333.872</v>
      </c>
      <c r="J11" s="8" t="s">
        <v>34</v>
      </c>
      <c r="K11" s="32"/>
      <c r="L11" s="32"/>
      <c r="M11" s="32"/>
      <c r="N11" s="32"/>
      <c r="O11" s="33" t="s">
        <v>582</v>
      </c>
    </row>
    <row r="12" ht="22.5" customHeight="1" spans="1:20">
      <c r="A12" s="20">
        <v>7</v>
      </c>
      <c r="B12" s="20" t="s">
        <v>31</v>
      </c>
      <c r="C12" s="21" t="s">
        <v>32</v>
      </c>
      <c r="D12" s="8">
        <v>16</v>
      </c>
      <c r="E12" s="8">
        <v>1500</v>
      </c>
      <c r="F12" s="8">
        <v>7420</v>
      </c>
      <c r="G12" s="20" t="s">
        <v>33</v>
      </c>
      <c r="H12" s="8">
        <v>6</v>
      </c>
      <c r="I12" s="36">
        <f t="shared" si="0"/>
        <v>8387.568</v>
      </c>
      <c r="J12" s="8" t="s">
        <v>11</v>
      </c>
      <c r="K12" s="32"/>
      <c r="L12" s="32"/>
      <c r="M12" s="32"/>
      <c r="N12" s="32"/>
      <c r="O12" s="33" t="s">
        <v>583</v>
      </c>
      <c r="P12" s="33" t="s">
        <v>584</v>
      </c>
      <c r="Q12" s="33" t="s">
        <v>585</v>
      </c>
      <c r="R12" s="33" t="s">
        <v>586</v>
      </c>
      <c r="S12" s="33" t="s">
        <v>587</v>
      </c>
      <c r="T12" s="33" t="s">
        <v>588</v>
      </c>
    </row>
    <row r="13" ht="22.5" customHeight="1" spans="1:16">
      <c r="A13" s="20">
        <v>8</v>
      </c>
      <c r="B13" s="20" t="s">
        <v>31</v>
      </c>
      <c r="C13" s="21" t="s">
        <v>32</v>
      </c>
      <c r="D13" s="8">
        <v>16</v>
      </c>
      <c r="E13" s="8">
        <v>1500</v>
      </c>
      <c r="F13" s="8">
        <v>8020</v>
      </c>
      <c r="G13" s="20" t="s">
        <v>33</v>
      </c>
      <c r="H13" s="8">
        <v>2</v>
      </c>
      <c r="I13" s="36">
        <f t="shared" si="0"/>
        <v>3021.936</v>
      </c>
      <c r="J13" s="8" t="s">
        <v>34</v>
      </c>
      <c r="K13" s="32"/>
      <c r="L13" s="32"/>
      <c r="M13" s="32"/>
      <c r="N13" s="32"/>
      <c r="O13" s="33" t="s">
        <v>589</v>
      </c>
      <c r="P13" s="33" t="s">
        <v>590</v>
      </c>
    </row>
    <row r="14" ht="22.5" customHeight="1" spans="1:15">
      <c r="A14" s="20">
        <v>9</v>
      </c>
      <c r="B14" s="20" t="s">
        <v>31</v>
      </c>
      <c r="C14" s="21" t="s">
        <v>32</v>
      </c>
      <c r="D14" s="8">
        <v>16</v>
      </c>
      <c r="E14" s="8">
        <v>1500</v>
      </c>
      <c r="F14" s="8">
        <v>10020</v>
      </c>
      <c r="G14" s="20" t="s">
        <v>33</v>
      </c>
      <c r="H14" s="8">
        <v>1</v>
      </c>
      <c r="I14" s="36">
        <f t="shared" si="0"/>
        <v>1887.768</v>
      </c>
      <c r="J14" s="8" t="s">
        <v>34</v>
      </c>
      <c r="K14" s="32"/>
      <c r="L14" s="32"/>
      <c r="M14" s="32"/>
      <c r="N14" s="32"/>
      <c r="O14" s="33" t="s">
        <v>591</v>
      </c>
    </row>
    <row r="15" ht="22.5" customHeight="1" spans="1:15">
      <c r="A15" s="20">
        <v>10</v>
      </c>
      <c r="B15" s="20" t="s">
        <v>31</v>
      </c>
      <c r="C15" s="21" t="s">
        <v>32</v>
      </c>
      <c r="D15" s="8">
        <v>16</v>
      </c>
      <c r="E15" s="8">
        <v>1800</v>
      </c>
      <c r="F15" s="8">
        <v>7080</v>
      </c>
      <c r="G15" s="20" t="s">
        <v>33</v>
      </c>
      <c r="H15" s="8">
        <v>1</v>
      </c>
      <c r="I15" s="36">
        <f t="shared" si="0"/>
        <v>1600.6464</v>
      </c>
      <c r="J15" s="8" t="s">
        <v>12</v>
      </c>
      <c r="K15" s="32"/>
      <c r="L15" s="32"/>
      <c r="M15" s="32"/>
      <c r="N15" s="32"/>
      <c r="O15" s="33" t="s">
        <v>592</v>
      </c>
    </row>
    <row r="16" ht="22.5" customHeight="1" spans="1:15">
      <c r="A16" s="20">
        <v>11</v>
      </c>
      <c r="B16" s="20" t="s">
        <v>31</v>
      </c>
      <c r="C16" s="21" t="s">
        <v>32</v>
      </c>
      <c r="D16" s="8">
        <v>16</v>
      </c>
      <c r="E16" s="8">
        <v>1800</v>
      </c>
      <c r="F16" s="8">
        <v>7470</v>
      </c>
      <c r="G16" s="20" t="s">
        <v>33</v>
      </c>
      <c r="H16" s="8">
        <v>1</v>
      </c>
      <c r="I16" s="36">
        <f t="shared" si="0"/>
        <v>1688.8176</v>
      </c>
      <c r="J16" s="8" t="s">
        <v>34</v>
      </c>
      <c r="K16" s="32"/>
      <c r="L16" s="32"/>
      <c r="M16" s="32"/>
      <c r="N16" s="32"/>
      <c r="O16" s="33" t="s">
        <v>593</v>
      </c>
    </row>
    <row r="17" ht="22.5" customHeight="1" spans="1:15">
      <c r="A17" s="20">
        <v>12</v>
      </c>
      <c r="B17" s="20" t="s">
        <v>31</v>
      </c>
      <c r="C17" s="21" t="s">
        <v>32</v>
      </c>
      <c r="D17" s="8">
        <v>16</v>
      </c>
      <c r="E17" s="8">
        <v>1800</v>
      </c>
      <c r="F17" s="8">
        <v>7620</v>
      </c>
      <c r="G17" s="20" t="s">
        <v>33</v>
      </c>
      <c r="H17" s="8">
        <v>1</v>
      </c>
      <c r="I17" s="36">
        <f t="shared" si="0"/>
        <v>1722.7296</v>
      </c>
      <c r="J17" s="8" t="s">
        <v>12</v>
      </c>
      <c r="K17" s="32"/>
      <c r="L17" s="32"/>
      <c r="M17" s="32"/>
      <c r="N17" s="32"/>
      <c r="O17" s="33" t="s">
        <v>594</v>
      </c>
    </row>
    <row r="18" ht="22.5" customHeight="1" spans="1:15">
      <c r="A18" s="20">
        <v>13</v>
      </c>
      <c r="B18" s="20" t="s">
        <v>31</v>
      </c>
      <c r="C18" s="21" t="s">
        <v>32</v>
      </c>
      <c r="D18" s="8">
        <v>16</v>
      </c>
      <c r="E18" s="8">
        <v>1800</v>
      </c>
      <c r="F18" s="8">
        <v>7720</v>
      </c>
      <c r="G18" s="20" t="s">
        <v>33</v>
      </c>
      <c r="H18" s="8">
        <v>1</v>
      </c>
      <c r="I18" s="36">
        <f t="shared" si="0"/>
        <v>1745.3376</v>
      </c>
      <c r="J18" s="8" t="s">
        <v>34</v>
      </c>
      <c r="K18" s="32"/>
      <c r="L18" s="32"/>
      <c r="M18" s="32"/>
      <c r="N18" s="32"/>
      <c r="O18" s="33" t="s">
        <v>595</v>
      </c>
    </row>
    <row r="19" ht="22.5" customHeight="1" spans="1:15">
      <c r="A19" s="20">
        <v>14</v>
      </c>
      <c r="B19" s="20" t="s">
        <v>31</v>
      </c>
      <c r="C19" s="21" t="s">
        <v>32</v>
      </c>
      <c r="D19" s="8">
        <v>16</v>
      </c>
      <c r="E19" s="8">
        <v>1800</v>
      </c>
      <c r="F19" s="8">
        <v>8020</v>
      </c>
      <c r="G19" s="20" t="s">
        <v>33</v>
      </c>
      <c r="H19" s="8">
        <v>1</v>
      </c>
      <c r="I19" s="36">
        <f t="shared" si="0"/>
        <v>1813.1616</v>
      </c>
      <c r="J19" s="8" t="s">
        <v>12</v>
      </c>
      <c r="K19" s="32"/>
      <c r="L19" s="32"/>
      <c r="M19" s="32"/>
      <c r="N19" s="32"/>
      <c r="O19" s="33" t="s">
        <v>596</v>
      </c>
    </row>
    <row r="20" ht="22.5" customHeight="1" spans="1:15">
      <c r="A20" s="20">
        <v>15</v>
      </c>
      <c r="B20" s="20" t="s">
        <v>31</v>
      </c>
      <c r="C20" s="21" t="s">
        <v>32</v>
      </c>
      <c r="D20" s="8">
        <v>16</v>
      </c>
      <c r="E20" s="8">
        <v>1800</v>
      </c>
      <c r="F20" s="8">
        <v>8300</v>
      </c>
      <c r="G20" s="20" t="s">
        <v>33</v>
      </c>
      <c r="H20" s="8">
        <v>1</v>
      </c>
      <c r="I20" s="36">
        <f t="shared" si="0"/>
        <v>1876.464</v>
      </c>
      <c r="J20" s="8" t="s">
        <v>11</v>
      </c>
      <c r="K20" s="32"/>
      <c r="L20" s="32"/>
      <c r="M20" s="32"/>
      <c r="N20" s="32"/>
      <c r="O20" s="33" t="s">
        <v>597</v>
      </c>
    </row>
    <row r="21" ht="22.5" customHeight="1" spans="1:15">
      <c r="A21" s="20">
        <v>16</v>
      </c>
      <c r="B21" s="20" t="s">
        <v>31</v>
      </c>
      <c r="C21" s="21" t="s">
        <v>32</v>
      </c>
      <c r="D21" s="8">
        <v>16</v>
      </c>
      <c r="E21" s="8">
        <v>1800</v>
      </c>
      <c r="F21" s="8">
        <v>8380</v>
      </c>
      <c r="G21" s="20" t="s">
        <v>33</v>
      </c>
      <c r="H21" s="8">
        <v>1</v>
      </c>
      <c r="I21" s="36">
        <f t="shared" si="0"/>
        <v>1894.5504</v>
      </c>
      <c r="J21" s="8" t="s">
        <v>11</v>
      </c>
      <c r="K21" s="32"/>
      <c r="L21" s="32"/>
      <c r="M21" s="32"/>
      <c r="N21" s="32"/>
      <c r="O21" s="33" t="s">
        <v>598</v>
      </c>
    </row>
    <row r="22" ht="22.5" customHeight="1" spans="1:15">
      <c r="A22" s="20">
        <v>17</v>
      </c>
      <c r="B22" s="20" t="s">
        <v>31</v>
      </c>
      <c r="C22" s="21" t="s">
        <v>32</v>
      </c>
      <c r="D22" s="8">
        <v>16</v>
      </c>
      <c r="E22" s="8">
        <v>1800</v>
      </c>
      <c r="F22" s="8">
        <v>9050</v>
      </c>
      <c r="G22" s="20" t="s">
        <v>33</v>
      </c>
      <c r="H22" s="8">
        <v>1</v>
      </c>
      <c r="I22" s="36">
        <f t="shared" si="0"/>
        <v>2046.024</v>
      </c>
      <c r="J22" s="8" t="s">
        <v>12</v>
      </c>
      <c r="K22" s="32"/>
      <c r="L22" s="32"/>
      <c r="M22" s="32"/>
      <c r="N22" s="32"/>
      <c r="O22" s="33" t="s">
        <v>599</v>
      </c>
    </row>
    <row r="23" ht="22.5" customHeight="1" spans="1:15">
      <c r="A23" s="20">
        <v>18</v>
      </c>
      <c r="B23" s="20" t="s">
        <v>31</v>
      </c>
      <c r="C23" s="21" t="s">
        <v>32</v>
      </c>
      <c r="D23" s="8">
        <v>16</v>
      </c>
      <c r="E23" s="8">
        <v>1800</v>
      </c>
      <c r="F23" s="8">
        <v>9650</v>
      </c>
      <c r="G23" s="20" t="s">
        <v>33</v>
      </c>
      <c r="H23" s="8">
        <v>1</v>
      </c>
      <c r="I23" s="36">
        <f t="shared" si="0"/>
        <v>2181.672</v>
      </c>
      <c r="J23" s="8" t="s">
        <v>11</v>
      </c>
      <c r="K23" s="32"/>
      <c r="L23" s="32"/>
      <c r="M23" s="32"/>
      <c r="N23" s="32"/>
      <c r="O23" s="33" t="s">
        <v>600</v>
      </c>
    </row>
    <row r="24" ht="22.5" customHeight="1" spans="1:15">
      <c r="A24" s="20">
        <v>19</v>
      </c>
      <c r="B24" s="20" t="s">
        <v>31</v>
      </c>
      <c r="C24" s="21" t="s">
        <v>32</v>
      </c>
      <c r="D24" s="8">
        <v>16</v>
      </c>
      <c r="E24" s="8">
        <v>1800</v>
      </c>
      <c r="F24" s="8">
        <v>9760</v>
      </c>
      <c r="G24" s="20" t="s">
        <v>33</v>
      </c>
      <c r="H24" s="8">
        <v>1</v>
      </c>
      <c r="I24" s="36">
        <f t="shared" si="0"/>
        <v>2206.5408</v>
      </c>
      <c r="J24" s="8" t="s">
        <v>11</v>
      </c>
      <c r="K24" s="32"/>
      <c r="L24" s="32"/>
      <c r="M24" s="32"/>
      <c r="N24" s="32"/>
      <c r="O24" s="33" t="s">
        <v>601</v>
      </c>
    </row>
    <row r="25" ht="22.5" customHeight="1" spans="1:15">
      <c r="A25" s="20">
        <v>20</v>
      </c>
      <c r="B25" s="20" t="s">
        <v>31</v>
      </c>
      <c r="C25" s="21" t="s">
        <v>32</v>
      </c>
      <c r="D25" s="8">
        <v>16</v>
      </c>
      <c r="E25" s="8">
        <v>1800</v>
      </c>
      <c r="F25" s="8">
        <v>9870</v>
      </c>
      <c r="G25" s="20" t="s">
        <v>33</v>
      </c>
      <c r="H25" s="8">
        <v>1</v>
      </c>
      <c r="I25" s="36">
        <f t="shared" si="0"/>
        <v>2231.4096</v>
      </c>
      <c r="J25" s="8" t="s">
        <v>12</v>
      </c>
      <c r="K25" s="32"/>
      <c r="L25" s="32"/>
      <c r="M25" s="32"/>
      <c r="N25" s="32"/>
      <c r="O25" s="33" t="s">
        <v>602</v>
      </c>
    </row>
    <row r="26" ht="22.5" customHeight="1" spans="1:15">
      <c r="A26" s="20">
        <v>21</v>
      </c>
      <c r="B26" s="20" t="s">
        <v>31</v>
      </c>
      <c r="C26" s="21" t="s">
        <v>32</v>
      </c>
      <c r="D26" s="8">
        <v>16</v>
      </c>
      <c r="E26" s="8">
        <v>1800</v>
      </c>
      <c r="F26" s="8">
        <v>9930</v>
      </c>
      <c r="G26" s="20" t="s">
        <v>33</v>
      </c>
      <c r="H26" s="8">
        <v>1</v>
      </c>
      <c r="I26" s="36">
        <f t="shared" si="0"/>
        <v>2244.9744</v>
      </c>
      <c r="J26" s="8" t="s">
        <v>11</v>
      </c>
      <c r="K26" s="32"/>
      <c r="L26" s="32"/>
      <c r="M26" s="32"/>
      <c r="N26" s="32"/>
      <c r="O26" s="33" t="s">
        <v>603</v>
      </c>
    </row>
    <row r="27" ht="22.5" customHeight="1" spans="1:15">
      <c r="A27" s="20">
        <v>22</v>
      </c>
      <c r="B27" s="20" t="s">
        <v>31</v>
      </c>
      <c r="C27" s="21" t="s">
        <v>32</v>
      </c>
      <c r="D27" s="8">
        <v>16</v>
      </c>
      <c r="E27" s="8">
        <v>1800</v>
      </c>
      <c r="F27" s="8">
        <v>10190</v>
      </c>
      <c r="G27" s="20" t="s">
        <v>33</v>
      </c>
      <c r="H27" s="8">
        <v>1</v>
      </c>
      <c r="I27" s="36">
        <f t="shared" si="0"/>
        <v>2303.7552</v>
      </c>
      <c r="J27" s="8" t="s">
        <v>12</v>
      </c>
      <c r="K27" s="32"/>
      <c r="L27" s="32"/>
      <c r="M27" s="32"/>
      <c r="N27" s="32"/>
      <c r="O27" s="33" t="s">
        <v>604</v>
      </c>
    </row>
    <row r="28" ht="22.5" customHeight="1" spans="1:15">
      <c r="A28" s="20">
        <v>23</v>
      </c>
      <c r="B28" s="20" t="s">
        <v>31</v>
      </c>
      <c r="C28" s="21" t="s">
        <v>32</v>
      </c>
      <c r="D28" s="8">
        <v>16</v>
      </c>
      <c r="E28" s="8">
        <v>1800</v>
      </c>
      <c r="F28" s="8">
        <v>10200</v>
      </c>
      <c r="G28" s="20" t="s">
        <v>33</v>
      </c>
      <c r="H28" s="8">
        <v>1</v>
      </c>
      <c r="I28" s="36">
        <f t="shared" si="0"/>
        <v>2306.016</v>
      </c>
      <c r="J28" s="8" t="s">
        <v>12</v>
      </c>
      <c r="K28" s="32"/>
      <c r="L28" s="32"/>
      <c r="M28" s="32"/>
      <c r="N28" s="32"/>
      <c r="O28" s="33" t="s">
        <v>605</v>
      </c>
    </row>
    <row r="29" ht="22.5" customHeight="1" spans="1:15">
      <c r="A29" s="20">
        <v>24</v>
      </c>
      <c r="B29" s="20" t="s">
        <v>31</v>
      </c>
      <c r="C29" s="21" t="s">
        <v>32</v>
      </c>
      <c r="D29" s="8">
        <v>16</v>
      </c>
      <c r="E29" s="8">
        <v>1800</v>
      </c>
      <c r="F29" s="8">
        <v>10270</v>
      </c>
      <c r="G29" s="20" t="s">
        <v>33</v>
      </c>
      <c r="H29" s="8">
        <v>1</v>
      </c>
      <c r="I29" s="36">
        <f t="shared" si="0"/>
        <v>2321.8416</v>
      </c>
      <c r="J29" s="8" t="s">
        <v>11</v>
      </c>
      <c r="K29" s="32"/>
      <c r="L29" s="32"/>
      <c r="M29" s="32"/>
      <c r="N29" s="32"/>
      <c r="O29" s="33" t="s">
        <v>606</v>
      </c>
    </row>
    <row r="30" ht="22.5" customHeight="1" spans="1:15">
      <c r="A30" s="20">
        <v>25</v>
      </c>
      <c r="B30" s="20" t="s">
        <v>31</v>
      </c>
      <c r="C30" s="21" t="s">
        <v>32</v>
      </c>
      <c r="D30" s="8">
        <v>16</v>
      </c>
      <c r="E30" s="8">
        <v>1800</v>
      </c>
      <c r="F30" s="8">
        <v>10400</v>
      </c>
      <c r="G30" s="20" t="s">
        <v>33</v>
      </c>
      <c r="H30" s="8">
        <v>1</v>
      </c>
      <c r="I30" s="36">
        <f t="shared" si="0"/>
        <v>2351.232</v>
      </c>
      <c r="J30" s="8" t="s">
        <v>11</v>
      </c>
      <c r="K30" s="32"/>
      <c r="L30" s="32"/>
      <c r="M30" s="32"/>
      <c r="N30" s="32"/>
      <c r="O30" s="33" t="s">
        <v>607</v>
      </c>
    </row>
    <row r="31" ht="22.5" customHeight="1" spans="1:15">
      <c r="A31" s="20">
        <v>26</v>
      </c>
      <c r="B31" s="20" t="s">
        <v>31</v>
      </c>
      <c r="C31" s="21" t="s">
        <v>32</v>
      </c>
      <c r="D31" s="8">
        <v>16</v>
      </c>
      <c r="E31" s="8">
        <v>1800</v>
      </c>
      <c r="F31" s="8">
        <v>10970</v>
      </c>
      <c r="G31" s="20" t="s">
        <v>33</v>
      </c>
      <c r="H31" s="8">
        <v>1</v>
      </c>
      <c r="I31" s="36">
        <f t="shared" si="0"/>
        <v>2480.0976</v>
      </c>
      <c r="J31" s="8" t="s">
        <v>11</v>
      </c>
      <c r="K31" s="32"/>
      <c r="L31" s="32"/>
      <c r="M31" s="32"/>
      <c r="N31" s="32"/>
      <c r="O31" s="33" t="s">
        <v>608</v>
      </c>
    </row>
    <row r="32" ht="22.5" customHeight="1" spans="1:15">
      <c r="A32" s="20">
        <v>27</v>
      </c>
      <c r="B32" s="20" t="s">
        <v>31</v>
      </c>
      <c r="C32" s="21" t="s">
        <v>32</v>
      </c>
      <c r="D32" s="8">
        <v>16</v>
      </c>
      <c r="E32" s="8">
        <v>1800</v>
      </c>
      <c r="F32" s="8">
        <v>11050</v>
      </c>
      <c r="G32" s="20" t="s">
        <v>33</v>
      </c>
      <c r="H32" s="8">
        <v>1</v>
      </c>
      <c r="I32" s="36">
        <f t="shared" si="0"/>
        <v>2498.184</v>
      </c>
      <c r="J32" s="8" t="s">
        <v>12</v>
      </c>
      <c r="K32" s="32"/>
      <c r="L32" s="32"/>
      <c r="M32" s="32"/>
      <c r="N32" s="32"/>
      <c r="O32" s="33" t="s">
        <v>609</v>
      </c>
    </row>
    <row r="33" ht="22.5" customHeight="1" spans="1:15">
      <c r="A33" s="20">
        <v>28</v>
      </c>
      <c r="B33" s="20" t="s">
        <v>31</v>
      </c>
      <c r="C33" s="21" t="s">
        <v>32</v>
      </c>
      <c r="D33" s="8">
        <v>16</v>
      </c>
      <c r="E33" s="8">
        <v>1800</v>
      </c>
      <c r="F33" s="8">
        <v>11130</v>
      </c>
      <c r="G33" s="20" t="s">
        <v>33</v>
      </c>
      <c r="H33" s="8">
        <v>1</v>
      </c>
      <c r="I33" s="36">
        <f t="shared" si="0"/>
        <v>2516.2704</v>
      </c>
      <c r="J33" s="8" t="s">
        <v>11</v>
      </c>
      <c r="K33" s="32"/>
      <c r="L33" s="32"/>
      <c r="M33" s="32"/>
      <c r="N33" s="32"/>
      <c r="O33" s="33" t="s">
        <v>610</v>
      </c>
    </row>
    <row r="34" ht="22.5" customHeight="1" spans="1:15">
      <c r="A34" s="20">
        <v>29</v>
      </c>
      <c r="B34" s="20" t="s">
        <v>31</v>
      </c>
      <c r="C34" s="21" t="s">
        <v>32</v>
      </c>
      <c r="D34" s="8">
        <v>16</v>
      </c>
      <c r="E34" s="8">
        <v>1800</v>
      </c>
      <c r="F34" s="8">
        <v>11430</v>
      </c>
      <c r="G34" s="20" t="s">
        <v>33</v>
      </c>
      <c r="H34" s="8">
        <v>1</v>
      </c>
      <c r="I34" s="36">
        <f t="shared" si="0"/>
        <v>2584.0944</v>
      </c>
      <c r="J34" s="8" t="s">
        <v>34</v>
      </c>
      <c r="K34" s="32"/>
      <c r="L34" s="32"/>
      <c r="M34" s="32"/>
      <c r="N34" s="32"/>
      <c r="O34" s="33" t="s">
        <v>611</v>
      </c>
    </row>
    <row r="35" ht="22.5" customHeight="1" spans="1:16">
      <c r="A35" s="20">
        <v>30</v>
      </c>
      <c r="B35" s="20" t="s">
        <v>31</v>
      </c>
      <c r="C35" s="21" t="s">
        <v>32</v>
      </c>
      <c r="D35" s="8">
        <v>16</v>
      </c>
      <c r="E35" s="8">
        <v>1800</v>
      </c>
      <c r="F35" s="8">
        <v>11470</v>
      </c>
      <c r="G35" s="20" t="s">
        <v>33</v>
      </c>
      <c r="H35" s="8">
        <v>2</v>
      </c>
      <c r="I35" s="36">
        <f t="shared" si="0"/>
        <v>5186.2752</v>
      </c>
      <c r="J35" s="8" t="s">
        <v>497</v>
      </c>
      <c r="K35" s="32"/>
      <c r="L35" s="32"/>
      <c r="M35" s="32"/>
      <c r="N35" s="32"/>
      <c r="O35" s="33" t="s">
        <v>612</v>
      </c>
      <c r="P35" s="33" t="s">
        <v>613</v>
      </c>
    </row>
    <row r="36" ht="22.5" customHeight="1" spans="1:15">
      <c r="A36" s="20">
        <v>31</v>
      </c>
      <c r="B36" s="20" t="s">
        <v>31</v>
      </c>
      <c r="C36" s="21" t="s">
        <v>32</v>
      </c>
      <c r="D36" s="8">
        <v>16</v>
      </c>
      <c r="E36" s="8">
        <v>1800</v>
      </c>
      <c r="F36" s="8">
        <v>11660</v>
      </c>
      <c r="G36" s="20" t="s">
        <v>33</v>
      </c>
      <c r="H36" s="8">
        <v>1</v>
      </c>
      <c r="I36" s="36">
        <f t="shared" si="0"/>
        <v>2636.0928</v>
      </c>
      <c r="J36" s="8" t="s">
        <v>34</v>
      </c>
      <c r="K36" s="32"/>
      <c r="L36" s="32"/>
      <c r="M36" s="32"/>
      <c r="N36" s="32"/>
      <c r="O36" s="33" t="s">
        <v>614</v>
      </c>
    </row>
    <row r="37" ht="22.5" customHeight="1" spans="1:15">
      <c r="A37" s="20">
        <v>32</v>
      </c>
      <c r="B37" s="20" t="s">
        <v>31</v>
      </c>
      <c r="C37" s="21" t="s">
        <v>32</v>
      </c>
      <c r="D37" s="8">
        <v>16</v>
      </c>
      <c r="E37" s="8">
        <v>1800</v>
      </c>
      <c r="F37" s="8">
        <v>11900</v>
      </c>
      <c r="G37" s="20" t="s">
        <v>33</v>
      </c>
      <c r="H37" s="8">
        <v>1</v>
      </c>
      <c r="I37" s="36">
        <f t="shared" si="0"/>
        <v>2690.352</v>
      </c>
      <c r="J37" s="8" t="s">
        <v>12</v>
      </c>
      <c r="K37" s="32"/>
      <c r="L37" s="32"/>
      <c r="M37" s="32"/>
      <c r="N37" s="32"/>
      <c r="O37" s="33" t="s">
        <v>615</v>
      </c>
    </row>
    <row r="38" ht="22.5" customHeight="1" spans="1:15">
      <c r="A38" s="20">
        <v>33</v>
      </c>
      <c r="B38" s="20" t="s">
        <v>31</v>
      </c>
      <c r="C38" s="21" t="s">
        <v>32</v>
      </c>
      <c r="D38" s="8">
        <v>16</v>
      </c>
      <c r="E38" s="8">
        <v>1800</v>
      </c>
      <c r="F38" s="8">
        <v>12100</v>
      </c>
      <c r="G38" s="20" t="s">
        <v>33</v>
      </c>
      <c r="H38" s="8">
        <v>1</v>
      </c>
      <c r="I38" s="36">
        <f t="shared" si="0"/>
        <v>2735.568</v>
      </c>
      <c r="J38" s="8" t="s">
        <v>34</v>
      </c>
      <c r="K38" s="32"/>
      <c r="L38" s="32"/>
      <c r="M38" s="32"/>
      <c r="N38" s="32"/>
      <c r="O38" s="33" t="s">
        <v>616</v>
      </c>
    </row>
    <row r="39" ht="22.5" customHeight="1" spans="1:15">
      <c r="A39" s="20">
        <v>34</v>
      </c>
      <c r="B39" s="20" t="s">
        <v>31</v>
      </c>
      <c r="C39" s="21" t="s">
        <v>32</v>
      </c>
      <c r="D39" s="8">
        <v>16</v>
      </c>
      <c r="E39" s="8">
        <v>1800</v>
      </c>
      <c r="F39" s="8">
        <v>12340</v>
      </c>
      <c r="G39" s="20" t="s">
        <v>33</v>
      </c>
      <c r="H39" s="8">
        <v>1</v>
      </c>
      <c r="I39" s="36">
        <f t="shared" si="0"/>
        <v>2789.8272</v>
      </c>
      <c r="J39" s="8" t="s">
        <v>34</v>
      </c>
      <c r="K39" s="32"/>
      <c r="L39" s="32"/>
      <c r="M39" s="32"/>
      <c r="N39" s="32"/>
      <c r="O39" s="33" t="s">
        <v>617</v>
      </c>
    </row>
    <row r="40" ht="22.5" customHeight="1" spans="1:15">
      <c r="A40" s="20">
        <v>35</v>
      </c>
      <c r="B40" s="20" t="s">
        <v>31</v>
      </c>
      <c r="C40" s="21" t="s">
        <v>32</v>
      </c>
      <c r="D40" s="8">
        <v>16</v>
      </c>
      <c r="E40" s="8">
        <v>1800</v>
      </c>
      <c r="F40" s="8">
        <v>12670</v>
      </c>
      <c r="G40" s="20" t="s">
        <v>33</v>
      </c>
      <c r="H40" s="8">
        <v>1</v>
      </c>
      <c r="I40" s="36">
        <f t="shared" si="0"/>
        <v>2864.4336</v>
      </c>
      <c r="J40" s="8" t="s">
        <v>11</v>
      </c>
      <c r="K40" s="32"/>
      <c r="L40" s="32"/>
      <c r="M40" s="32"/>
      <c r="N40" s="32"/>
      <c r="O40" s="33" t="s">
        <v>618</v>
      </c>
    </row>
    <row r="41" ht="22.5" customHeight="1" spans="1:15">
      <c r="A41" s="20">
        <v>36</v>
      </c>
      <c r="B41" s="20" t="s">
        <v>31</v>
      </c>
      <c r="C41" s="21" t="s">
        <v>32</v>
      </c>
      <c r="D41" s="8">
        <v>16</v>
      </c>
      <c r="E41" s="8">
        <v>2000</v>
      </c>
      <c r="F41" s="8">
        <v>8020</v>
      </c>
      <c r="G41" s="20" t="s">
        <v>33</v>
      </c>
      <c r="H41" s="8">
        <v>1</v>
      </c>
      <c r="I41" s="36">
        <f t="shared" si="0"/>
        <v>2014.624</v>
      </c>
      <c r="J41" s="8" t="s">
        <v>34</v>
      </c>
      <c r="K41" s="32"/>
      <c r="L41" s="32"/>
      <c r="M41" s="32"/>
      <c r="N41" s="32"/>
      <c r="O41" s="33" t="s">
        <v>619</v>
      </c>
    </row>
    <row r="42" ht="22.5" customHeight="1" spans="1:15">
      <c r="A42" s="20">
        <v>37</v>
      </c>
      <c r="B42" s="20" t="s">
        <v>31</v>
      </c>
      <c r="C42" s="21" t="s">
        <v>32</v>
      </c>
      <c r="D42" s="8">
        <v>16</v>
      </c>
      <c r="E42" s="8">
        <v>2000</v>
      </c>
      <c r="F42" s="8">
        <v>10130</v>
      </c>
      <c r="G42" s="20" t="s">
        <v>33</v>
      </c>
      <c r="H42" s="8">
        <v>1</v>
      </c>
      <c r="I42" s="36">
        <f t="shared" si="0"/>
        <v>2544.656</v>
      </c>
      <c r="J42" s="8" t="s">
        <v>34</v>
      </c>
      <c r="K42" s="32"/>
      <c r="L42" s="32"/>
      <c r="M42" s="32"/>
      <c r="N42" s="32"/>
      <c r="O42" s="33" t="s">
        <v>620</v>
      </c>
    </row>
    <row r="43" ht="22.5" customHeight="1" spans="1:15">
      <c r="A43" s="20">
        <v>38</v>
      </c>
      <c r="B43" s="20" t="s">
        <v>31</v>
      </c>
      <c r="C43" s="21" t="s">
        <v>32</v>
      </c>
      <c r="D43" s="8">
        <v>16</v>
      </c>
      <c r="E43" s="8">
        <v>2000</v>
      </c>
      <c r="F43" s="8">
        <v>10380</v>
      </c>
      <c r="G43" s="20" t="s">
        <v>33</v>
      </c>
      <c r="H43" s="8">
        <v>1</v>
      </c>
      <c r="I43" s="36">
        <f t="shared" si="0"/>
        <v>2607.456</v>
      </c>
      <c r="J43" s="8" t="s">
        <v>11</v>
      </c>
      <c r="K43" s="32"/>
      <c r="L43" s="32"/>
      <c r="M43" s="32"/>
      <c r="N43" s="32"/>
      <c r="O43" s="33" t="s">
        <v>621</v>
      </c>
    </row>
    <row r="44" ht="22.5" customHeight="1" spans="1:15">
      <c r="A44" s="20">
        <v>39</v>
      </c>
      <c r="B44" s="20" t="s">
        <v>31</v>
      </c>
      <c r="C44" s="21" t="s">
        <v>32</v>
      </c>
      <c r="D44" s="8">
        <v>16</v>
      </c>
      <c r="E44" s="8">
        <v>2000</v>
      </c>
      <c r="F44" s="8">
        <v>11040</v>
      </c>
      <c r="G44" s="20" t="s">
        <v>33</v>
      </c>
      <c r="H44" s="8">
        <v>1</v>
      </c>
      <c r="I44" s="36">
        <f t="shared" si="0"/>
        <v>2773.248</v>
      </c>
      <c r="J44" s="8" t="s">
        <v>11</v>
      </c>
      <c r="K44" s="32"/>
      <c r="L44" s="32"/>
      <c r="M44" s="32"/>
      <c r="N44" s="32"/>
      <c r="O44" s="33" t="s">
        <v>622</v>
      </c>
    </row>
    <row r="45" ht="22.5" customHeight="1" spans="1:15">
      <c r="A45" s="20">
        <v>40</v>
      </c>
      <c r="B45" s="20" t="s">
        <v>31</v>
      </c>
      <c r="C45" s="21" t="s">
        <v>32</v>
      </c>
      <c r="D45" s="8">
        <v>16</v>
      </c>
      <c r="E45" s="8">
        <v>2000</v>
      </c>
      <c r="F45" s="8">
        <v>11180</v>
      </c>
      <c r="G45" s="20" t="s">
        <v>33</v>
      </c>
      <c r="H45" s="8">
        <v>1</v>
      </c>
      <c r="I45" s="36">
        <f t="shared" si="0"/>
        <v>2808.416</v>
      </c>
      <c r="J45" s="8" t="s">
        <v>12</v>
      </c>
      <c r="K45" s="32"/>
      <c r="L45" s="32"/>
      <c r="M45" s="32"/>
      <c r="N45" s="32"/>
      <c r="O45" s="33" t="s">
        <v>623</v>
      </c>
    </row>
    <row r="46" ht="22.5" customHeight="1" spans="1:15">
      <c r="A46" s="20">
        <v>41</v>
      </c>
      <c r="B46" s="20" t="s">
        <v>31</v>
      </c>
      <c r="C46" s="21" t="s">
        <v>32</v>
      </c>
      <c r="D46" s="8">
        <v>16</v>
      </c>
      <c r="E46" s="8">
        <v>2000</v>
      </c>
      <c r="F46" s="8">
        <v>11590</v>
      </c>
      <c r="G46" s="20" t="s">
        <v>33</v>
      </c>
      <c r="H46" s="8">
        <v>1</v>
      </c>
      <c r="I46" s="36">
        <f t="shared" si="0"/>
        <v>2911.408</v>
      </c>
      <c r="J46" s="8" t="s">
        <v>11</v>
      </c>
      <c r="K46" s="32"/>
      <c r="L46" s="32"/>
      <c r="M46" s="32"/>
      <c r="N46" s="32"/>
      <c r="O46" s="33" t="s">
        <v>624</v>
      </c>
    </row>
    <row r="47" ht="22.5" customHeight="1" spans="1:15">
      <c r="A47" s="20">
        <v>42</v>
      </c>
      <c r="B47" s="20" t="s">
        <v>31</v>
      </c>
      <c r="C47" s="21" t="s">
        <v>32</v>
      </c>
      <c r="D47" s="8">
        <v>16</v>
      </c>
      <c r="E47" s="8">
        <v>2000</v>
      </c>
      <c r="F47" s="8">
        <v>11770</v>
      </c>
      <c r="G47" s="20" t="s">
        <v>33</v>
      </c>
      <c r="H47" s="8">
        <v>1</v>
      </c>
      <c r="I47" s="36">
        <f t="shared" si="0"/>
        <v>2956.624</v>
      </c>
      <c r="J47" s="8" t="s">
        <v>11</v>
      </c>
      <c r="K47" s="32">
        <f>SUM(I9:I47)</f>
        <v>98424.556</v>
      </c>
      <c r="L47" s="32">
        <f>[14]Sheet2!$Q$40</f>
        <v>98424.556</v>
      </c>
      <c r="M47" s="32"/>
      <c r="N47" s="32"/>
      <c r="O47" s="33" t="s">
        <v>625</v>
      </c>
    </row>
    <row r="48" ht="22.5" customHeight="1" spans="1:10">
      <c r="A48" s="5" t="s">
        <v>40</v>
      </c>
      <c r="B48" s="5"/>
      <c r="C48" s="5"/>
      <c r="D48" s="5"/>
      <c r="E48" s="5"/>
      <c r="F48" s="5"/>
      <c r="G48" s="5"/>
      <c r="H48" s="5"/>
      <c r="I48" s="34">
        <f>SUM(I6:I47)</f>
        <v>104987.941</v>
      </c>
      <c r="J48" s="13"/>
    </row>
    <row r="49" ht="16.5" spans="1:10">
      <c r="A49" s="22" t="s">
        <v>41</v>
      </c>
      <c r="B49" s="22"/>
      <c r="C49" s="22"/>
      <c r="D49" s="22"/>
      <c r="E49" s="22"/>
      <c r="F49" s="22"/>
      <c r="G49" s="22"/>
      <c r="H49" s="22"/>
      <c r="I49" s="22"/>
      <c r="J49" s="22"/>
    </row>
    <row r="50" ht="16.5" spans="1:10">
      <c r="A50" s="22" t="s">
        <v>401</v>
      </c>
      <c r="B50" s="22"/>
      <c r="C50" s="22"/>
      <c r="D50" s="22"/>
      <c r="E50" s="22"/>
      <c r="F50" s="22"/>
      <c r="G50" s="22"/>
      <c r="H50" s="22"/>
      <c r="I50" s="22"/>
      <c r="J50" s="22"/>
    </row>
    <row r="51" ht="16.5" spans="1:10">
      <c r="A51" s="16" t="s">
        <v>457</v>
      </c>
      <c r="B51" s="17"/>
      <c r="C51" s="17"/>
      <c r="D51" s="17"/>
      <c r="E51" s="17"/>
      <c r="F51" s="17"/>
      <c r="G51" s="17"/>
      <c r="H51" s="17"/>
      <c r="I51" s="17"/>
      <c r="J51" s="17"/>
    </row>
  </sheetData>
  <autoFilter ref="A5:J51">
    <sortState ref="A5:J51">
      <sortCondition ref="E5"/>
    </sortState>
    <extLst/>
  </autoFilter>
  <mergeCells count="7">
    <mergeCell ref="A1:J1"/>
    <mergeCell ref="A2:J2"/>
    <mergeCell ref="A3:F3"/>
    <mergeCell ref="A48:H48"/>
    <mergeCell ref="A49:J49"/>
    <mergeCell ref="A50:J50"/>
    <mergeCell ref="A51:J51"/>
  </mergeCells>
  <pageMargins left="0.75" right="0.75" top="1" bottom="1" header="0.5" footer="0.5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1"/>
  <dimension ref="A1:AD39"/>
  <sheetViews>
    <sheetView topLeftCell="A10" workbookViewId="0">
      <selection activeCell="M1" sqref="M$1:AE$1048576"/>
    </sheetView>
  </sheetViews>
  <sheetFormatPr defaultColWidth="9" defaultRowHeight="13.5"/>
  <cols>
    <col min="1" max="2" width="6.875" customWidth="1"/>
    <col min="3" max="3" width="9.125" customWidth="1"/>
    <col min="4" max="4" width="8.125" customWidth="1"/>
    <col min="5" max="5" width="9.5" customWidth="1"/>
    <col min="6" max="6" width="10" customWidth="1"/>
    <col min="7" max="7" width="7.625" customWidth="1"/>
    <col min="8" max="8" width="7.375" customWidth="1"/>
    <col min="9" max="9" width="12.8416666666667" customWidth="1"/>
    <col min="10" max="10" width="8.675" customWidth="1"/>
    <col min="11" max="13" width="15.3416666666667" hidden="1" customWidth="1"/>
    <col min="14" max="31" width="9" hidden="1" customWidth="1"/>
  </cols>
  <sheetData>
    <row r="1" ht="28.5" customHeight="1" spans="1:13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  <c r="K1" s="24"/>
      <c r="L1" s="24"/>
      <c r="M1" s="24"/>
    </row>
    <row r="2" ht="28.5" customHeight="1" spans="1:13">
      <c r="A2" s="15" t="s">
        <v>20</v>
      </c>
      <c r="B2" s="15"/>
      <c r="C2" s="15"/>
      <c r="D2" s="15"/>
      <c r="E2" s="15"/>
      <c r="F2" s="15"/>
      <c r="G2" s="15"/>
      <c r="H2" s="15"/>
      <c r="I2" s="15"/>
      <c r="J2" s="15"/>
      <c r="K2" s="24"/>
      <c r="L2" s="24"/>
      <c r="M2" s="24"/>
    </row>
    <row r="3" ht="22.5" customHeight="1" spans="1:13">
      <c r="A3" s="16" t="s">
        <v>21</v>
      </c>
      <c r="B3" s="17"/>
      <c r="C3" s="17"/>
      <c r="D3" s="17"/>
      <c r="E3" s="17"/>
      <c r="F3" s="17"/>
      <c r="G3" s="17"/>
      <c r="H3" s="17"/>
      <c r="I3" s="44"/>
      <c r="J3" s="26"/>
      <c r="K3" s="46"/>
      <c r="L3" s="46"/>
      <c r="M3" s="27"/>
    </row>
    <row r="4" ht="22.5" customHeight="1" spans="1:13">
      <c r="A4" s="18" t="s">
        <v>626</v>
      </c>
      <c r="B4" s="19"/>
      <c r="C4" s="19"/>
      <c r="D4" s="17"/>
      <c r="E4" s="19"/>
      <c r="F4" s="19"/>
      <c r="G4" s="17"/>
      <c r="H4" s="17"/>
      <c r="I4" s="45"/>
      <c r="J4" s="26"/>
      <c r="K4" s="46"/>
      <c r="L4" s="46"/>
      <c r="M4" s="27"/>
    </row>
    <row r="5" ht="22.5" customHeight="1" spans="1:13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4" t="s">
        <v>29</v>
      </c>
      <c r="J5" s="11" t="s">
        <v>30</v>
      </c>
      <c r="K5" s="30"/>
      <c r="L5" s="30"/>
      <c r="M5" s="30"/>
    </row>
    <row r="6" ht="22.5" customHeight="1" spans="1:30">
      <c r="A6" s="20">
        <v>1</v>
      </c>
      <c r="B6" s="20" t="s">
        <v>31</v>
      </c>
      <c r="C6" s="21" t="s">
        <v>32</v>
      </c>
      <c r="D6" s="8">
        <v>16</v>
      </c>
      <c r="E6" s="8">
        <v>1500</v>
      </c>
      <c r="F6" s="8">
        <v>7420</v>
      </c>
      <c r="G6" s="8" t="s">
        <v>33</v>
      </c>
      <c r="H6" s="8">
        <v>18</v>
      </c>
      <c r="I6" s="36">
        <f>H6*F6*E6*D6*7.85/1000000</f>
        <v>25162.704</v>
      </c>
      <c r="J6" s="8" t="s">
        <v>11</v>
      </c>
      <c r="K6" s="32"/>
      <c r="L6" s="32"/>
      <c r="M6" s="33" t="s">
        <v>627</v>
      </c>
      <c r="N6" s="33" t="s">
        <v>628</v>
      </c>
      <c r="O6" s="33" t="s">
        <v>629</v>
      </c>
      <c r="P6" s="33" t="s">
        <v>630</v>
      </c>
      <c r="Q6" s="33" t="s">
        <v>631</v>
      </c>
      <c r="R6" s="33" t="s">
        <v>632</v>
      </c>
      <c r="S6" s="33" t="s">
        <v>633</v>
      </c>
      <c r="T6" s="33" t="s">
        <v>634</v>
      </c>
      <c r="U6" s="33" t="s">
        <v>635</v>
      </c>
      <c r="V6" s="33" t="s">
        <v>636</v>
      </c>
      <c r="W6" s="33" t="s">
        <v>637</v>
      </c>
      <c r="X6" s="33" t="s">
        <v>638</v>
      </c>
      <c r="Y6" s="33" t="s">
        <v>639</v>
      </c>
      <c r="Z6" s="33" t="s">
        <v>640</v>
      </c>
      <c r="AA6" s="33" t="s">
        <v>641</v>
      </c>
      <c r="AB6" s="33" t="s">
        <v>642</v>
      </c>
      <c r="AC6" s="33" t="s">
        <v>643</v>
      </c>
      <c r="AD6" s="33" t="s">
        <v>644</v>
      </c>
    </row>
    <row r="7" ht="22.5" customHeight="1" spans="1:15">
      <c r="A7" s="20">
        <v>2</v>
      </c>
      <c r="B7" s="20" t="s">
        <v>31</v>
      </c>
      <c r="C7" s="21" t="s">
        <v>32</v>
      </c>
      <c r="D7" s="8">
        <v>16</v>
      </c>
      <c r="E7" s="8">
        <v>1500</v>
      </c>
      <c r="F7" s="8">
        <v>7740</v>
      </c>
      <c r="G7" s="8" t="s">
        <v>33</v>
      </c>
      <c r="H7" s="8">
        <v>3</v>
      </c>
      <c r="I7" s="36">
        <f t="shared" ref="I7:I35" si="0">H7*F7*E7*D7*7.85/1000000</f>
        <v>4374.648</v>
      </c>
      <c r="J7" s="8" t="s">
        <v>11</v>
      </c>
      <c r="K7" s="32"/>
      <c r="L7" s="32"/>
      <c r="M7" s="33" t="s">
        <v>645</v>
      </c>
      <c r="N7" s="33" t="s">
        <v>646</v>
      </c>
      <c r="O7" s="33" t="s">
        <v>647</v>
      </c>
    </row>
    <row r="8" ht="22.5" customHeight="1" spans="1:18">
      <c r="A8" s="20">
        <v>3</v>
      </c>
      <c r="B8" s="20" t="s">
        <v>31</v>
      </c>
      <c r="C8" s="21" t="s">
        <v>32</v>
      </c>
      <c r="D8" s="8">
        <v>16</v>
      </c>
      <c r="E8" s="8">
        <v>1500</v>
      </c>
      <c r="F8" s="8">
        <v>8020</v>
      </c>
      <c r="G8" s="8" t="s">
        <v>33</v>
      </c>
      <c r="H8" s="8">
        <v>6</v>
      </c>
      <c r="I8" s="36">
        <f t="shared" si="0"/>
        <v>9065.808</v>
      </c>
      <c r="J8" s="8" t="s">
        <v>34</v>
      </c>
      <c r="K8" s="32"/>
      <c r="L8" s="32"/>
      <c r="M8" s="33" t="s">
        <v>648</v>
      </c>
      <c r="N8" s="33" t="s">
        <v>649</v>
      </c>
      <c r="O8" s="33" t="s">
        <v>650</v>
      </c>
      <c r="P8" s="33" t="s">
        <v>651</v>
      </c>
      <c r="Q8" s="33" t="s">
        <v>652</v>
      </c>
      <c r="R8" s="33" t="s">
        <v>653</v>
      </c>
    </row>
    <row r="9" ht="22.5" customHeight="1" spans="1:13">
      <c r="A9" s="20">
        <v>4</v>
      </c>
      <c r="B9" s="20" t="s">
        <v>31</v>
      </c>
      <c r="C9" s="21" t="s">
        <v>32</v>
      </c>
      <c r="D9" s="8">
        <v>16</v>
      </c>
      <c r="E9" s="8">
        <v>1500</v>
      </c>
      <c r="F9" s="8">
        <v>8040</v>
      </c>
      <c r="G9" s="8" t="s">
        <v>33</v>
      </c>
      <c r="H9" s="8">
        <v>1</v>
      </c>
      <c r="I9" s="36">
        <f t="shared" si="0"/>
        <v>1514.736</v>
      </c>
      <c r="J9" s="8" t="s">
        <v>34</v>
      </c>
      <c r="K9" s="32"/>
      <c r="L9" s="32"/>
      <c r="M9" s="33" t="s">
        <v>654</v>
      </c>
    </row>
    <row r="10" ht="22.5" customHeight="1" spans="1:13">
      <c r="A10" s="20">
        <v>5</v>
      </c>
      <c r="B10" s="20" t="s">
        <v>31</v>
      </c>
      <c r="C10" s="21" t="s">
        <v>32</v>
      </c>
      <c r="D10" s="8">
        <v>16</v>
      </c>
      <c r="E10" s="8">
        <v>1500</v>
      </c>
      <c r="F10" s="8">
        <v>9710</v>
      </c>
      <c r="G10" s="8" t="s">
        <v>33</v>
      </c>
      <c r="H10" s="8">
        <v>1</v>
      </c>
      <c r="I10" s="36">
        <f t="shared" si="0"/>
        <v>1829.364</v>
      </c>
      <c r="J10" s="8" t="s">
        <v>11</v>
      </c>
      <c r="K10" s="32"/>
      <c r="L10" s="32"/>
      <c r="M10" s="33" t="s">
        <v>655</v>
      </c>
    </row>
    <row r="11" ht="22.5" customHeight="1" spans="1:13">
      <c r="A11" s="20">
        <v>6</v>
      </c>
      <c r="B11" s="20" t="s">
        <v>31</v>
      </c>
      <c r="C11" s="21" t="s">
        <v>32</v>
      </c>
      <c r="D11" s="8">
        <v>16</v>
      </c>
      <c r="E11" s="8">
        <v>1500</v>
      </c>
      <c r="F11" s="8">
        <v>9740</v>
      </c>
      <c r="G11" s="8" t="s">
        <v>33</v>
      </c>
      <c r="H11" s="8">
        <v>1</v>
      </c>
      <c r="I11" s="36">
        <f t="shared" si="0"/>
        <v>1835.016</v>
      </c>
      <c r="J11" s="8" t="s">
        <v>11</v>
      </c>
      <c r="K11" s="32"/>
      <c r="L11" s="32"/>
      <c r="M11" s="33" t="s">
        <v>656</v>
      </c>
    </row>
    <row r="12" ht="22.5" customHeight="1" spans="1:13">
      <c r="A12" s="20">
        <v>7</v>
      </c>
      <c r="B12" s="20" t="s">
        <v>31</v>
      </c>
      <c r="C12" s="21" t="s">
        <v>32</v>
      </c>
      <c r="D12" s="8">
        <v>16</v>
      </c>
      <c r="E12" s="8">
        <v>1500</v>
      </c>
      <c r="F12" s="8">
        <v>9780</v>
      </c>
      <c r="G12" s="8" t="s">
        <v>33</v>
      </c>
      <c r="H12" s="8">
        <v>1</v>
      </c>
      <c r="I12" s="36">
        <f t="shared" si="0"/>
        <v>1842.552</v>
      </c>
      <c r="J12" s="8" t="s">
        <v>11</v>
      </c>
      <c r="K12" s="32"/>
      <c r="L12" s="32"/>
      <c r="M12" s="33" t="s">
        <v>657</v>
      </c>
    </row>
    <row r="13" ht="22.5" customHeight="1" spans="1:13">
      <c r="A13" s="20">
        <v>8</v>
      </c>
      <c r="B13" s="20" t="s">
        <v>31</v>
      </c>
      <c r="C13" s="21" t="s">
        <v>32</v>
      </c>
      <c r="D13" s="8">
        <v>16</v>
      </c>
      <c r="E13" s="8">
        <v>1500</v>
      </c>
      <c r="F13" s="8">
        <v>10030</v>
      </c>
      <c r="G13" s="8" t="s">
        <v>33</v>
      </c>
      <c r="H13" s="8">
        <v>1</v>
      </c>
      <c r="I13" s="36">
        <f t="shared" si="0"/>
        <v>1889.652</v>
      </c>
      <c r="J13" s="8" t="s">
        <v>34</v>
      </c>
      <c r="K13" s="32"/>
      <c r="L13" s="32"/>
      <c r="M13" s="33" t="s">
        <v>658</v>
      </c>
    </row>
    <row r="14" ht="22.5" customHeight="1" spans="1:13">
      <c r="A14" s="20">
        <v>9</v>
      </c>
      <c r="B14" s="20" t="s">
        <v>31</v>
      </c>
      <c r="C14" s="21" t="s">
        <v>32</v>
      </c>
      <c r="D14" s="8">
        <v>16</v>
      </c>
      <c r="E14" s="8">
        <v>1800</v>
      </c>
      <c r="F14" s="8">
        <v>7290</v>
      </c>
      <c r="G14" s="8" t="s">
        <v>33</v>
      </c>
      <c r="H14" s="8">
        <v>1</v>
      </c>
      <c r="I14" s="36">
        <f t="shared" si="0"/>
        <v>1648.1232</v>
      </c>
      <c r="J14" s="8" t="s">
        <v>11</v>
      </c>
      <c r="K14" s="32"/>
      <c r="L14" s="32"/>
      <c r="M14" s="33" t="s">
        <v>659</v>
      </c>
    </row>
    <row r="15" ht="22.5" customHeight="1" spans="1:13">
      <c r="A15" s="20">
        <v>10</v>
      </c>
      <c r="B15" s="20" t="s">
        <v>31</v>
      </c>
      <c r="C15" s="21" t="s">
        <v>32</v>
      </c>
      <c r="D15" s="8">
        <v>16</v>
      </c>
      <c r="E15" s="8">
        <v>1800</v>
      </c>
      <c r="F15" s="8">
        <v>7310</v>
      </c>
      <c r="G15" s="8" t="s">
        <v>33</v>
      </c>
      <c r="H15" s="8">
        <v>1</v>
      </c>
      <c r="I15" s="36">
        <f t="shared" si="0"/>
        <v>1652.6448</v>
      </c>
      <c r="J15" s="8" t="s">
        <v>11</v>
      </c>
      <c r="K15" s="32"/>
      <c r="L15" s="32"/>
      <c r="M15" s="33" t="s">
        <v>660</v>
      </c>
    </row>
    <row r="16" ht="22.5" customHeight="1" spans="1:13">
      <c r="A16" s="20">
        <v>11</v>
      </c>
      <c r="B16" s="20" t="s">
        <v>31</v>
      </c>
      <c r="C16" s="21" t="s">
        <v>32</v>
      </c>
      <c r="D16" s="8">
        <v>16</v>
      </c>
      <c r="E16" s="8">
        <v>1800</v>
      </c>
      <c r="F16" s="8">
        <v>7600</v>
      </c>
      <c r="G16" s="8" t="s">
        <v>33</v>
      </c>
      <c r="H16" s="8">
        <v>1</v>
      </c>
      <c r="I16" s="36">
        <f t="shared" si="0"/>
        <v>1718.208</v>
      </c>
      <c r="J16" s="8" t="s">
        <v>11</v>
      </c>
      <c r="K16" s="32"/>
      <c r="L16" s="32"/>
      <c r="M16" s="33" t="s">
        <v>661</v>
      </c>
    </row>
    <row r="17" ht="22.5" customHeight="1" spans="1:15">
      <c r="A17" s="20">
        <v>12</v>
      </c>
      <c r="B17" s="20" t="s">
        <v>31</v>
      </c>
      <c r="C17" s="21" t="s">
        <v>32</v>
      </c>
      <c r="D17" s="8">
        <v>16</v>
      </c>
      <c r="E17" s="8">
        <v>1800</v>
      </c>
      <c r="F17" s="8">
        <v>7620</v>
      </c>
      <c r="G17" s="8" t="s">
        <v>33</v>
      </c>
      <c r="H17" s="8">
        <v>3</v>
      </c>
      <c r="I17" s="36">
        <f t="shared" si="0"/>
        <v>5168.1888</v>
      </c>
      <c r="J17" s="8" t="s">
        <v>12</v>
      </c>
      <c r="K17" s="32"/>
      <c r="L17" s="32"/>
      <c r="M17" s="33" t="s">
        <v>662</v>
      </c>
      <c r="N17" s="33" t="s">
        <v>663</v>
      </c>
      <c r="O17" s="33" t="s">
        <v>664</v>
      </c>
    </row>
    <row r="18" ht="22.5" customHeight="1" spans="1:13">
      <c r="A18" s="20">
        <v>13</v>
      </c>
      <c r="B18" s="20" t="s">
        <v>31</v>
      </c>
      <c r="C18" s="21" t="s">
        <v>32</v>
      </c>
      <c r="D18" s="8">
        <v>16</v>
      </c>
      <c r="E18" s="8">
        <v>1800</v>
      </c>
      <c r="F18" s="8">
        <v>7680</v>
      </c>
      <c r="G18" s="8" t="s">
        <v>33</v>
      </c>
      <c r="H18" s="8">
        <v>1</v>
      </c>
      <c r="I18" s="36">
        <f t="shared" si="0"/>
        <v>1736.2944</v>
      </c>
      <c r="J18" s="8" t="s">
        <v>12</v>
      </c>
      <c r="K18" s="32"/>
      <c r="L18" s="32"/>
      <c r="M18" s="33" t="s">
        <v>665</v>
      </c>
    </row>
    <row r="19" ht="22.5" customHeight="1" spans="1:13">
      <c r="A19" s="20">
        <v>14</v>
      </c>
      <c r="B19" s="20" t="s">
        <v>31</v>
      </c>
      <c r="C19" s="21" t="s">
        <v>32</v>
      </c>
      <c r="D19" s="8">
        <v>16</v>
      </c>
      <c r="E19" s="8">
        <v>1800</v>
      </c>
      <c r="F19" s="8">
        <v>7750</v>
      </c>
      <c r="G19" s="8" t="s">
        <v>33</v>
      </c>
      <c r="H19" s="8">
        <v>1</v>
      </c>
      <c r="I19" s="36">
        <f t="shared" si="0"/>
        <v>1752.12</v>
      </c>
      <c r="J19" s="8" t="s">
        <v>11</v>
      </c>
      <c r="K19" s="32"/>
      <c r="L19" s="32"/>
      <c r="M19" s="33" t="s">
        <v>666</v>
      </c>
    </row>
    <row r="20" ht="22.5" customHeight="1" spans="1:14">
      <c r="A20" s="20">
        <v>15</v>
      </c>
      <c r="B20" s="20" t="s">
        <v>31</v>
      </c>
      <c r="C20" s="21" t="s">
        <v>32</v>
      </c>
      <c r="D20" s="8">
        <v>16</v>
      </c>
      <c r="E20" s="8">
        <v>1800</v>
      </c>
      <c r="F20" s="8">
        <v>7840</v>
      </c>
      <c r="G20" s="8" t="s">
        <v>33</v>
      </c>
      <c r="H20" s="8">
        <v>2</v>
      </c>
      <c r="I20" s="36">
        <f t="shared" si="0"/>
        <v>3544.9344</v>
      </c>
      <c r="J20" s="8" t="s">
        <v>12</v>
      </c>
      <c r="K20" s="32"/>
      <c r="L20" s="32"/>
      <c r="M20" s="33" t="s">
        <v>667</v>
      </c>
      <c r="N20" s="33" t="s">
        <v>668</v>
      </c>
    </row>
    <row r="21" ht="22.5" customHeight="1" spans="1:13">
      <c r="A21" s="20">
        <v>16</v>
      </c>
      <c r="B21" s="20" t="s">
        <v>31</v>
      </c>
      <c r="C21" s="21" t="s">
        <v>32</v>
      </c>
      <c r="D21" s="8">
        <v>16</v>
      </c>
      <c r="E21" s="8">
        <v>1800</v>
      </c>
      <c r="F21" s="8">
        <v>8010</v>
      </c>
      <c r="G21" s="8" t="s">
        <v>33</v>
      </c>
      <c r="H21" s="8">
        <v>1</v>
      </c>
      <c r="I21" s="36">
        <f t="shared" si="0"/>
        <v>1810.9008</v>
      </c>
      <c r="J21" s="8" t="s">
        <v>11</v>
      </c>
      <c r="K21" s="32"/>
      <c r="L21" s="32"/>
      <c r="M21" s="33" t="s">
        <v>669</v>
      </c>
    </row>
    <row r="22" ht="22.5" customHeight="1" spans="1:16">
      <c r="A22" s="20">
        <v>17</v>
      </c>
      <c r="B22" s="20" t="s">
        <v>31</v>
      </c>
      <c r="C22" s="21" t="s">
        <v>32</v>
      </c>
      <c r="D22" s="8">
        <v>16</v>
      </c>
      <c r="E22" s="8">
        <v>1800</v>
      </c>
      <c r="F22" s="8">
        <v>8020</v>
      </c>
      <c r="G22" s="8" t="s">
        <v>33</v>
      </c>
      <c r="H22" s="8">
        <v>4</v>
      </c>
      <c r="I22" s="36">
        <f t="shared" si="0"/>
        <v>7252.6464</v>
      </c>
      <c r="J22" s="8" t="s">
        <v>12</v>
      </c>
      <c r="K22" s="32"/>
      <c r="L22" s="32"/>
      <c r="M22" s="33" t="s">
        <v>670</v>
      </c>
      <c r="N22" s="33" t="s">
        <v>671</v>
      </c>
      <c r="O22" s="33" t="s">
        <v>672</v>
      </c>
      <c r="P22" s="33" t="s">
        <v>673</v>
      </c>
    </row>
    <row r="23" ht="22.5" customHeight="1" spans="1:13">
      <c r="A23" s="20">
        <v>18</v>
      </c>
      <c r="B23" s="20" t="s">
        <v>31</v>
      </c>
      <c r="C23" s="21" t="s">
        <v>32</v>
      </c>
      <c r="D23" s="8">
        <v>16</v>
      </c>
      <c r="E23" s="8">
        <v>1800</v>
      </c>
      <c r="F23" s="8">
        <v>8040</v>
      </c>
      <c r="G23" s="8" t="s">
        <v>33</v>
      </c>
      <c r="H23" s="8">
        <v>1</v>
      </c>
      <c r="I23" s="36">
        <f t="shared" si="0"/>
        <v>1817.6832</v>
      </c>
      <c r="J23" s="8" t="s">
        <v>12</v>
      </c>
      <c r="K23" s="32"/>
      <c r="L23" s="32"/>
      <c r="M23" s="33" t="s">
        <v>674</v>
      </c>
    </row>
    <row r="24" ht="22.5" customHeight="1" spans="1:14">
      <c r="A24" s="20">
        <v>19</v>
      </c>
      <c r="B24" s="20" t="s">
        <v>31</v>
      </c>
      <c r="C24" s="21" t="s">
        <v>32</v>
      </c>
      <c r="D24" s="8">
        <v>16</v>
      </c>
      <c r="E24" s="8">
        <v>1800</v>
      </c>
      <c r="F24" s="8">
        <v>8150</v>
      </c>
      <c r="G24" s="8" t="s">
        <v>33</v>
      </c>
      <c r="H24" s="8">
        <v>2</v>
      </c>
      <c r="I24" s="36">
        <f t="shared" si="0"/>
        <v>3685.104</v>
      </c>
      <c r="J24" s="8" t="s">
        <v>34</v>
      </c>
      <c r="K24" s="32"/>
      <c r="L24" s="32"/>
      <c r="M24" s="33" t="s">
        <v>675</v>
      </c>
      <c r="N24" s="33" t="s">
        <v>676</v>
      </c>
    </row>
    <row r="25" ht="22.5" customHeight="1" spans="1:13">
      <c r="A25" s="20">
        <v>20</v>
      </c>
      <c r="B25" s="20" t="s">
        <v>31</v>
      </c>
      <c r="C25" s="21" t="s">
        <v>32</v>
      </c>
      <c r="D25" s="8">
        <v>16</v>
      </c>
      <c r="E25" s="8">
        <v>1800</v>
      </c>
      <c r="F25" s="8">
        <v>8200</v>
      </c>
      <c r="G25" s="8" t="s">
        <v>33</v>
      </c>
      <c r="H25" s="8">
        <v>1</v>
      </c>
      <c r="I25" s="36">
        <f t="shared" si="0"/>
        <v>1853.856</v>
      </c>
      <c r="J25" s="8" t="s">
        <v>34</v>
      </c>
      <c r="K25" s="32"/>
      <c r="L25" s="32"/>
      <c r="M25" s="33" t="s">
        <v>677</v>
      </c>
    </row>
    <row r="26" ht="22.5" customHeight="1" spans="1:13">
      <c r="A26" s="20">
        <v>21</v>
      </c>
      <c r="B26" s="20" t="s">
        <v>31</v>
      </c>
      <c r="C26" s="21" t="s">
        <v>32</v>
      </c>
      <c r="D26" s="8">
        <v>16</v>
      </c>
      <c r="E26" s="8">
        <v>1800</v>
      </c>
      <c r="F26" s="8">
        <v>8330</v>
      </c>
      <c r="G26" s="8" t="s">
        <v>33</v>
      </c>
      <c r="H26" s="8">
        <v>1</v>
      </c>
      <c r="I26" s="36">
        <f t="shared" si="0"/>
        <v>1883.2464</v>
      </c>
      <c r="J26" s="8" t="s">
        <v>34</v>
      </c>
      <c r="K26" s="32"/>
      <c r="L26" s="32"/>
      <c r="M26" s="33" t="s">
        <v>678</v>
      </c>
    </row>
    <row r="27" ht="22.5" customHeight="1" spans="1:14">
      <c r="A27" s="20">
        <v>22</v>
      </c>
      <c r="B27" s="20" t="s">
        <v>31</v>
      </c>
      <c r="C27" s="21" t="s">
        <v>32</v>
      </c>
      <c r="D27" s="8">
        <v>16</v>
      </c>
      <c r="E27" s="8">
        <v>1800</v>
      </c>
      <c r="F27" s="8">
        <v>8340</v>
      </c>
      <c r="G27" s="8" t="s">
        <v>33</v>
      </c>
      <c r="H27" s="8">
        <v>2</v>
      </c>
      <c r="I27" s="36">
        <f t="shared" si="0"/>
        <v>3771.0144</v>
      </c>
      <c r="J27" s="8" t="s">
        <v>34</v>
      </c>
      <c r="K27" s="32"/>
      <c r="L27" s="32"/>
      <c r="M27" s="33" t="s">
        <v>679</v>
      </c>
      <c r="N27" s="33" t="s">
        <v>680</v>
      </c>
    </row>
    <row r="28" ht="22.5" customHeight="1" spans="1:13">
      <c r="A28" s="20">
        <v>23</v>
      </c>
      <c r="B28" s="20" t="s">
        <v>31</v>
      </c>
      <c r="C28" s="21" t="s">
        <v>32</v>
      </c>
      <c r="D28" s="8">
        <v>16</v>
      </c>
      <c r="E28" s="8">
        <v>1800</v>
      </c>
      <c r="F28" s="8">
        <v>9810</v>
      </c>
      <c r="G28" s="8" t="s">
        <v>33</v>
      </c>
      <c r="H28" s="8">
        <v>1</v>
      </c>
      <c r="I28" s="36">
        <f t="shared" si="0"/>
        <v>2217.8448</v>
      </c>
      <c r="J28" s="8" t="s">
        <v>12</v>
      </c>
      <c r="K28" s="32"/>
      <c r="L28" s="32"/>
      <c r="M28" s="33" t="s">
        <v>681</v>
      </c>
    </row>
    <row r="29" ht="22.5" customHeight="1" spans="1:13">
      <c r="A29" s="20">
        <v>24</v>
      </c>
      <c r="B29" s="20" t="s">
        <v>31</v>
      </c>
      <c r="C29" s="21" t="s">
        <v>32</v>
      </c>
      <c r="D29" s="8">
        <v>16</v>
      </c>
      <c r="E29" s="8">
        <v>1800</v>
      </c>
      <c r="F29" s="8">
        <v>10070</v>
      </c>
      <c r="G29" s="8" t="s">
        <v>33</v>
      </c>
      <c r="H29" s="8">
        <v>1</v>
      </c>
      <c r="I29" s="36">
        <f t="shared" si="0"/>
        <v>2276.6256</v>
      </c>
      <c r="J29" s="8" t="s">
        <v>12</v>
      </c>
      <c r="K29" s="32"/>
      <c r="L29" s="32"/>
      <c r="M29" s="33" t="s">
        <v>682</v>
      </c>
    </row>
    <row r="30" ht="22.5" customHeight="1" spans="1:13">
      <c r="A30" s="20">
        <v>25</v>
      </c>
      <c r="B30" s="20" t="s">
        <v>31</v>
      </c>
      <c r="C30" s="21" t="s">
        <v>32</v>
      </c>
      <c r="D30" s="8">
        <v>16</v>
      </c>
      <c r="E30" s="8">
        <v>1800</v>
      </c>
      <c r="F30" s="8">
        <v>11310</v>
      </c>
      <c r="G30" s="8" t="s">
        <v>33</v>
      </c>
      <c r="H30" s="8">
        <v>1</v>
      </c>
      <c r="I30" s="36">
        <f t="shared" si="0"/>
        <v>2556.9648</v>
      </c>
      <c r="J30" s="8" t="s">
        <v>12</v>
      </c>
      <c r="K30" s="32"/>
      <c r="L30" s="32"/>
      <c r="M30" s="33" t="s">
        <v>683</v>
      </c>
    </row>
    <row r="31" ht="22.5" customHeight="1" spans="1:13">
      <c r="A31" s="20">
        <v>26</v>
      </c>
      <c r="B31" s="20" t="s">
        <v>31</v>
      </c>
      <c r="C31" s="21" t="s">
        <v>32</v>
      </c>
      <c r="D31" s="8">
        <v>16</v>
      </c>
      <c r="E31" s="8">
        <v>1800</v>
      </c>
      <c r="F31" s="8">
        <v>12510</v>
      </c>
      <c r="G31" s="8" t="s">
        <v>33</v>
      </c>
      <c r="H31" s="8">
        <v>1</v>
      </c>
      <c r="I31" s="36">
        <f t="shared" si="0"/>
        <v>2828.2608</v>
      </c>
      <c r="J31" s="8" t="s">
        <v>12</v>
      </c>
      <c r="K31" s="32"/>
      <c r="L31" s="32"/>
      <c r="M31" s="33" t="s">
        <v>684</v>
      </c>
    </row>
    <row r="32" ht="22.5" customHeight="1" spans="1:13">
      <c r="A32" s="20">
        <v>27</v>
      </c>
      <c r="B32" s="20" t="s">
        <v>31</v>
      </c>
      <c r="C32" s="21" t="s">
        <v>32</v>
      </c>
      <c r="D32" s="8">
        <v>16</v>
      </c>
      <c r="E32" s="8">
        <v>2000</v>
      </c>
      <c r="F32" s="8">
        <v>7990</v>
      </c>
      <c r="G32" s="8" t="s">
        <v>33</v>
      </c>
      <c r="H32" s="8">
        <v>1</v>
      </c>
      <c r="I32" s="36">
        <f t="shared" si="0"/>
        <v>2007.088</v>
      </c>
      <c r="J32" s="8" t="s">
        <v>11</v>
      </c>
      <c r="K32" s="32"/>
      <c r="L32" s="32"/>
      <c r="M32" s="33" t="s">
        <v>685</v>
      </c>
    </row>
    <row r="33" ht="22.5" customHeight="1" spans="1:14">
      <c r="A33" s="20">
        <v>28</v>
      </c>
      <c r="B33" s="20" t="s">
        <v>31</v>
      </c>
      <c r="C33" s="21" t="s">
        <v>32</v>
      </c>
      <c r="D33" s="8">
        <v>16</v>
      </c>
      <c r="E33" s="8">
        <v>2000</v>
      </c>
      <c r="F33" s="8">
        <v>8020</v>
      </c>
      <c r="G33" s="8" t="s">
        <v>33</v>
      </c>
      <c r="H33" s="8">
        <v>2</v>
      </c>
      <c r="I33" s="36">
        <f t="shared" si="0"/>
        <v>4029.248</v>
      </c>
      <c r="J33" s="8" t="s">
        <v>34</v>
      </c>
      <c r="K33" s="32"/>
      <c r="L33" s="32"/>
      <c r="M33" s="33" t="s">
        <v>686</v>
      </c>
      <c r="N33" s="33" t="s">
        <v>687</v>
      </c>
    </row>
    <row r="34" ht="22.5" customHeight="1" spans="1:13">
      <c r="A34" s="20">
        <v>29</v>
      </c>
      <c r="B34" s="20" t="s">
        <v>31</v>
      </c>
      <c r="C34" s="21" t="s">
        <v>32</v>
      </c>
      <c r="D34" s="8">
        <v>16</v>
      </c>
      <c r="E34" s="8">
        <v>2000</v>
      </c>
      <c r="F34" s="8">
        <v>8040</v>
      </c>
      <c r="G34" s="8" t="s">
        <v>33</v>
      </c>
      <c r="H34" s="8">
        <v>1</v>
      </c>
      <c r="I34" s="36">
        <f t="shared" si="0"/>
        <v>2019.648</v>
      </c>
      <c r="J34" s="8" t="s">
        <v>34</v>
      </c>
      <c r="K34" s="32"/>
      <c r="L34" s="32"/>
      <c r="M34" s="33" t="s">
        <v>688</v>
      </c>
    </row>
    <row r="35" ht="22.5" customHeight="1" spans="1:13">
      <c r="A35" s="20">
        <v>30</v>
      </c>
      <c r="B35" s="20" t="s">
        <v>31</v>
      </c>
      <c r="C35" s="21" t="s">
        <v>32</v>
      </c>
      <c r="D35" s="8">
        <v>16</v>
      </c>
      <c r="E35" s="8">
        <v>2000</v>
      </c>
      <c r="F35" s="8">
        <v>10060</v>
      </c>
      <c r="G35" s="8" t="s">
        <v>33</v>
      </c>
      <c r="H35" s="8">
        <v>1</v>
      </c>
      <c r="I35" s="36">
        <f t="shared" si="0"/>
        <v>2527.072</v>
      </c>
      <c r="J35" s="8" t="s">
        <v>34</v>
      </c>
      <c r="K35" s="32">
        <f>SUM(I6:I35)</f>
        <v>107272.1968</v>
      </c>
      <c r="L35" s="32">
        <f>[15]Sheet2!$Q$31</f>
        <v>107272.1968</v>
      </c>
      <c r="M35" s="33" t="s">
        <v>689</v>
      </c>
    </row>
    <row r="36" ht="22.5" customHeight="1" spans="1:12">
      <c r="A36" s="5" t="s">
        <v>40</v>
      </c>
      <c r="B36" s="5"/>
      <c r="C36" s="5"/>
      <c r="D36" s="5"/>
      <c r="E36" s="5"/>
      <c r="F36" s="5"/>
      <c r="G36" s="5"/>
      <c r="H36" s="5"/>
      <c r="I36" s="34">
        <f>SUM(I6:I35)</f>
        <v>107272.1968</v>
      </c>
      <c r="J36" s="13"/>
      <c r="K36" s="32">
        <f>[6]D桥估料表!$G$102</f>
        <v>149553.6628256</v>
      </c>
      <c r="L36" s="32">
        <v>149553.6628256</v>
      </c>
    </row>
    <row r="37" ht="16.5" spans="1:10">
      <c r="A37" s="22" t="s">
        <v>41</v>
      </c>
      <c r="B37" s="22"/>
      <c r="C37" s="22"/>
      <c r="D37" s="22"/>
      <c r="E37" s="22"/>
      <c r="F37" s="22"/>
      <c r="G37" s="22"/>
      <c r="H37" s="22"/>
      <c r="I37" s="22"/>
      <c r="J37" s="22"/>
    </row>
    <row r="38" ht="16.5" spans="1:10">
      <c r="A38" s="22" t="s">
        <v>401</v>
      </c>
      <c r="B38" s="22"/>
      <c r="C38" s="22"/>
      <c r="D38" s="22"/>
      <c r="E38" s="22"/>
      <c r="F38" s="22"/>
      <c r="G38" s="22"/>
      <c r="H38" s="22"/>
      <c r="I38" s="22"/>
      <c r="J38" s="22"/>
    </row>
    <row r="39" ht="16.5" spans="1:10">
      <c r="A39" s="16" t="s">
        <v>457</v>
      </c>
      <c r="B39" s="17"/>
      <c r="C39" s="17"/>
      <c r="D39" s="17"/>
      <c r="E39" s="17"/>
      <c r="F39" s="17"/>
      <c r="G39" s="17"/>
      <c r="H39" s="17"/>
      <c r="I39" s="17"/>
      <c r="J39" s="17"/>
    </row>
  </sheetData>
  <autoFilter ref="A5:J39">
    <extLst/>
  </autoFilter>
  <mergeCells count="7">
    <mergeCell ref="A1:J1"/>
    <mergeCell ref="A2:J2"/>
    <mergeCell ref="A3:F3"/>
    <mergeCell ref="A36:H36"/>
    <mergeCell ref="A37:J37"/>
    <mergeCell ref="A38:J38"/>
    <mergeCell ref="A39:J39"/>
  </mergeCells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2"/>
  <dimension ref="A1:S57"/>
  <sheetViews>
    <sheetView topLeftCell="A12" workbookViewId="0">
      <selection activeCell="S1" sqref="Q$1:S$1048576"/>
    </sheetView>
  </sheetViews>
  <sheetFormatPr defaultColWidth="9" defaultRowHeight="13.5"/>
  <cols>
    <col min="1" max="1" width="6.625" customWidth="1"/>
    <col min="2" max="2" width="7.375" customWidth="1"/>
    <col min="3" max="3" width="9.375" customWidth="1"/>
    <col min="4" max="4" width="8.375" customWidth="1"/>
    <col min="5" max="5" width="10.125" customWidth="1"/>
    <col min="6" max="6" width="11.0083333333333" customWidth="1"/>
    <col min="7" max="7" width="7" customWidth="1"/>
    <col min="8" max="8" width="6.125" customWidth="1"/>
    <col min="9" max="9" width="10.125" customWidth="1"/>
    <col min="10" max="10" width="11.375" customWidth="1"/>
    <col min="11" max="12" width="14.3416666666667" hidden="1" customWidth="1"/>
    <col min="13" max="13" width="10.175" hidden="1" customWidth="1"/>
    <col min="14" max="14" width="6.24166666666667" hidden="1" customWidth="1"/>
    <col min="15" max="16" width="12.625" hidden="1" customWidth="1"/>
    <col min="17" max="19" width="9" hidden="1" customWidth="1"/>
  </cols>
  <sheetData>
    <row r="1" ht="28.5" customHeight="1" spans="1:14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  <c r="K1" s="24"/>
      <c r="L1" s="24"/>
      <c r="M1" s="24"/>
      <c r="N1" s="24"/>
    </row>
    <row r="2" ht="28.5" customHeight="1" spans="1:14">
      <c r="A2" s="15" t="s">
        <v>20</v>
      </c>
      <c r="B2" s="15"/>
      <c r="C2" s="15"/>
      <c r="D2" s="15"/>
      <c r="E2" s="15"/>
      <c r="F2" s="15"/>
      <c r="G2" s="15"/>
      <c r="H2" s="15"/>
      <c r="I2" s="15"/>
      <c r="J2" s="15"/>
      <c r="K2" s="24"/>
      <c r="L2" s="24"/>
      <c r="M2" s="24"/>
      <c r="N2" s="24"/>
    </row>
    <row r="3" ht="22.5" customHeight="1" spans="1:14">
      <c r="A3" s="16" t="s">
        <v>21</v>
      </c>
      <c r="B3" s="17"/>
      <c r="C3" s="17"/>
      <c r="D3" s="17"/>
      <c r="E3" s="17"/>
      <c r="F3" s="17"/>
      <c r="G3" s="17"/>
      <c r="H3" s="17"/>
      <c r="I3" s="44"/>
      <c r="J3" s="26"/>
      <c r="K3" s="27"/>
      <c r="L3" s="27"/>
      <c r="M3" s="27"/>
      <c r="N3" s="27"/>
    </row>
    <row r="4" ht="22.5" customHeight="1" spans="1:14">
      <c r="A4" s="18" t="s">
        <v>690</v>
      </c>
      <c r="B4" s="19"/>
      <c r="C4" s="19"/>
      <c r="D4" s="17"/>
      <c r="E4" s="19"/>
      <c r="F4" s="19"/>
      <c r="G4" s="17"/>
      <c r="H4" s="17"/>
      <c r="I4" s="45"/>
      <c r="J4" s="26"/>
      <c r="K4" s="27"/>
      <c r="L4" s="27"/>
      <c r="M4" s="27"/>
      <c r="N4" s="27"/>
    </row>
    <row r="5" ht="22.5" customHeight="1" spans="1:14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4" t="s">
        <v>29</v>
      </c>
      <c r="J5" s="11" t="s">
        <v>30</v>
      </c>
      <c r="K5" s="30"/>
      <c r="L5" s="30"/>
      <c r="M5" s="30"/>
      <c r="N5" s="30"/>
    </row>
    <row r="6" ht="22.5" customHeight="1" spans="1:14">
      <c r="A6" s="20">
        <v>1</v>
      </c>
      <c r="B6" s="20" t="s">
        <v>31</v>
      </c>
      <c r="C6" s="21" t="s">
        <v>32</v>
      </c>
      <c r="D6" s="35">
        <v>12</v>
      </c>
      <c r="E6" s="35">
        <v>1500</v>
      </c>
      <c r="F6" s="35">
        <v>8870</v>
      </c>
      <c r="G6" s="20" t="s">
        <v>33</v>
      </c>
      <c r="H6" s="35">
        <v>1</v>
      </c>
      <c r="I6" s="36">
        <f>H6*F6*E6*D6*7.85/1000000</f>
        <v>1253.331</v>
      </c>
      <c r="J6" s="35" t="s">
        <v>17</v>
      </c>
      <c r="K6" s="37" t="s">
        <v>691</v>
      </c>
      <c r="L6" s="8">
        <v>1</v>
      </c>
      <c r="M6" s="32"/>
      <c r="N6" s="32"/>
    </row>
    <row r="7" ht="22.5" customHeight="1" spans="1:14">
      <c r="A7" s="20">
        <v>2</v>
      </c>
      <c r="B7" s="20" t="s">
        <v>31</v>
      </c>
      <c r="C7" s="21" t="s">
        <v>32</v>
      </c>
      <c r="D7" s="35">
        <v>12</v>
      </c>
      <c r="E7" s="35">
        <v>1500</v>
      </c>
      <c r="F7" s="35">
        <v>10860</v>
      </c>
      <c r="G7" s="20" t="s">
        <v>33</v>
      </c>
      <c r="H7" s="35">
        <v>1</v>
      </c>
      <c r="I7" s="36">
        <f>H7*F7*E7*D7*7.85/1000000</f>
        <v>1534.518</v>
      </c>
      <c r="J7" s="38" t="s">
        <v>234</v>
      </c>
      <c r="K7" s="37" t="s">
        <v>692</v>
      </c>
      <c r="L7" s="8">
        <v>1</v>
      </c>
      <c r="M7" s="32"/>
      <c r="N7" s="32"/>
    </row>
    <row r="8" ht="22.5" customHeight="1" spans="1:14">
      <c r="A8" s="20">
        <v>3</v>
      </c>
      <c r="B8" s="20" t="s">
        <v>31</v>
      </c>
      <c r="C8" s="21" t="s">
        <v>32</v>
      </c>
      <c r="D8" s="35">
        <v>12</v>
      </c>
      <c r="E8" s="35">
        <f>1960+40</f>
        <v>2000</v>
      </c>
      <c r="F8" s="35">
        <v>10020</v>
      </c>
      <c r="G8" s="20" t="s">
        <v>33</v>
      </c>
      <c r="H8" s="35">
        <v>2</v>
      </c>
      <c r="I8" s="36">
        <f>H8*F8*E8*D8*7.85/1000000</f>
        <v>3775.536</v>
      </c>
      <c r="J8" s="35" t="s">
        <v>16</v>
      </c>
      <c r="K8" s="37" t="s">
        <v>693</v>
      </c>
      <c r="L8" s="8">
        <v>1</v>
      </c>
      <c r="M8" s="8" t="s">
        <v>694</v>
      </c>
      <c r="N8" s="8">
        <v>1</v>
      </c>
    </row>
    <row r="9" ht="22.5" customHeight="1" spans="1:19">
      <c r="A9" s="20">
        <v>4</v>
      </c>
      <c r="B9" s="20" t="s">
        <v>31</v>
      </c>
      <c r="C9" s="21" t="s">
        <v>32</v>
      </c>
      <c r="D9" s="8">
        <v>16</v>
      </c>
      <c r="E9" s="8">
        <v>1500</v>
      </c>
      <c r="F9" s="8">
        <v>7430</v>
      </c>
      <c r="G9" s="20" t="s">
        <v>33</v>
      </c>
      <c r="H9" s="8">
        <v>3</v>
      </c>
      <c r="I9" s="36">
        <f t="shared" ref="I9:I53" si="0">H9*F9*E9*D9*7.85/1000000</f>
        <v>4199.436</v>
      </c>
      <c r="J9" s="8" t="s">
        <v>11</v>
      </c>
      <c r="K9" s="32"/>
      <c r="L9" s="32"/>
      <c r="M9" s="32"/>
      <c r="N9" s="32"/>
      <c r="Q9" s="33" t="s">
        <v>695</v>
      </c>
      <c r="R9" s="33" t="s">
        <v>696</v>
      </c>
      <c r="S9" s="33" t="s">
        <v>697</v>
      </c>
    </row>
    <row r="10" ht="22.5" customHeight="1" spans="1:19">
      <c r="A10" s="20">
        <v>5</v>
      </c>
      <c r="B10" s="20" t="s">
        <v>31</v>
      </c>
      <c r="C10" s="21" t="s">
        <v>32</v>
      </c>
      <c r="D10" s="8">
        <v>16</v>
      </c>
      <c r="E10" s="8">
        <v>1500</v>
      </c>
      <c r="F10" s="8">
        <v>7440</v>
      </c>
      <c r="G10" s="20" t="s">
        <v>33</v>
      </c>
      <c r="H10" s="8">
        <v>3</v>
      </c>
      <c r="I10" s="36">
        <f t="shared" si="0"/>
        <v>4205.088</v>
      </c>
      <c r="J10" s="8" t="s">
        <v>11</v>
      </c>
      <c r="K10" s="32"/>
      <c r="L10" s="32"/>
      <c r="M10" s="32"/>
      <c r="N10" s="32"/>
      <c r="Q10" s="33" t="s">
        <v>698</v>
      </c>
      <c r="R10" s="33" t="s">
        <v>699</v>
      </c>
      <c r="S10" s="33" t="s">
        <v>700</v>
      </c>
    </row>
    <row r="11" ht="22.5" customHeight="1" spans="1:17">
      <c r="A11" s="20">
        <v>6</v>
      </c>
      <c r="B11" s="20" t="s">
        <v>31</v>
      </c>
      <c r="C11" s="21" t="s">
        <v>32</v>
      </c>
      <c r="D11" s="8">
        <v>16</v>
      </c>
      <c r="E11" s="8">
        <v>1500</v>
      </c>
      <c r="F11" s="8">
        <v>7760</v>
      </c>
      <c r="G11" s="20" t="s">
        <v>33</v>
      </c>
      <c r="H11" s="8">
        <v>1</v>
      </c>
      <c r="I11" s="36">
        <f t="shared" si="0"/>
        <v>1461.984</v>
      </c>
      <c r="J11" s="8" t="s">
        <v>11</v>
      </c>
      <c r="K11" s="32"/>
      <c r="L11" s="32"/>
      <c r="M11" s="32"/>
      <c r="N11" s="32"/>
      <c r="Q11" s="33" t="s">
        <v>701</v>
      </c>
    </row>
    <row r="12" ht="22.5" customHeight="1" spans="1:17">
      <c r="A12" s="20">
        <v>7</v>
      </c>
      <c r="B12" s="20" t="s">
        <v>31</v>
      </c>
      <c r="C12" s="21" t="s">
        <v>32</v>
      </c>
      <c r="D12" s="8">
        <v>16</v>
      </c>
      <c r="E12" s="8">
        <v>1500</v>
      </c>
      <c r="F12" s="8">
        <v>7780</v>
      </c>
      <c r="G12" s="20" t="s">
        <v>33</v>
      </c>
      <c r="H12" s="8">
        <v>1</v>
      </c>
      <c r="I12" s="36">
        <f t="shared" si="0"/>
        <v>1465.752</v>
      </c>
      <c r="J12" s="8" t="s">
        <v>11</v>
      </c>
      <c r="K12" s="32"/>
      <c r="L12" s="32"/>
      <c r="M12" s="32"/>
      <c r="N12" s="32"/>
      <c r="Q12" s="33" t="s">
        <v>702</v>
      </c>
    </row>
    <row r="13" ht="22.5" customHeight="1" spans="1:17">
      <c r="A13" s="20">
        <v>8</v>
      </c>
      <c r="B13" s="20" t="s">
        <v>31</v>
      </c>
      <c r="C13" s="21" t="s">
        <v>32</v>
      </c>
      <c r="D13" s="8">
        <v>16</v>
      </c>
      <c r="E13" s="8">
        <v>1500</v>
      </c>
      <c r="F13" s="8">
        <v>7800</v>
      </c>
      <c r="G13" s="20" t="s">
        <v>33</v>
      </c>
      <c r="H13" s="8">
        <v>1</v>
      </c>
      <c r="I13" s="36">
        <f t="shared" si="0"/>
        <v>1469.52</v>
      </c>
      <c r="J13" s="8" t="s">
        <v>11</v>
      </c>
      <c r="K13" s="32"/>
      <c r="L13" s="32"/>
      <c r="M13" s="32"/>
      <c r="N13" s="32"/>
      <c r="Q13" s="33" t="s">
        <v>703</v>
      </c>
    </row>
    <row r="14" ht="22.5" customHeight="1" spans="1:18">
      <c r="A14" s="20">
        <v>9</v>
      </c>
      <c r="B14" s="20" t="s">
        <v>31</v>
      </c>
      <c r="C14" s="21" t="s">
        <v>32</v>
      </c>
      <c r="D14" s="8">
        <v>16</v>
      </c>
      <c r="E14" s="8">
        <v>1500</v>
      </c>
      <c r="F14" s="8">
        <v>8030</v>
      </c>
      <c r="G14" s="20" t="s">
        <v>33</v>
      </c>
      <c r="H14" s="8">
        <v>2</v>
      </c>
      <c r="I14" s="36">
        <f t="shared" si="0"/>
        <v>3025.704</v>
      </c>
      <c r="J14" s="8" t="s">
        <v>34</v>
      </c>
      <c r="K14" s="32"/>
      <c r="L14" s="32"/>
      <c r="M14" s="32"/>
      <c r="N14" s="32"/>
      <c r="Q14" s="33" t="s">
        <v>704</v>
      </c>
      <c r="R14" s="33" t="s">
        <v>705</v>
      </c>
    </row>
    <row r="15" ht="22.5" customHeight="1" spans="1:17">
      <c r="A15" s="20">
        <v>10</v>
      </c>
      <c r="B15" s="20" t="s">
        <v>31</v>
      </c>
      <c r="C15" s="21" t="s">
        <v>32</v>
      </c>
      <c r="D15" s="8">
        <v>16</v>
      </c>
      <c r="E15" s="8">
        <v>1500</v>
      </c>
      <c r="F15" s="8">
        <v>8040</v>
      </c>
      <c r="G15" s="20" t="s">
        <v>33</v>
      </c>
      <c r="H15" s="8">
        <v>1</v>
      </c>
      <c r="I15" s="36">
        <f t="shared" si="0"/>
        <v>1514.736</v>
      </c>
      <c r="J15" s="8" t="s">
        <v>34</v>
      </c>
      <c r="K15" s="32"/>
      <c r="L15" s="32"/>
      <c r="M15" s="32"/>
      <c r="N15" s="32"/>
      <c r="Q15" s="33" t="s">
        <v>706</v>
      </c>
    </row>
    <row r="16" ht="22.5" customHeight="1" spans="1:17">
      <c r="A16" s="20">
        <v>11</v>
      </c>
      <c r="B16" s="20" t="s">
        <v>31</v>
      </c>
      <c r="C16" s="21" t="s">
        <v>32</v>
      </c>
      <c r="D16" s="8">
        <v>16</v>
      </c>
      <c r="E16" s="8">
        <v>1500</v>
      </c>
      <c r="F16" s="8">
        <v>8070</v>
      </c>
      <c r="G16" s="20" t="s">
        <v>33</v>
      </c>
      <c r="H16" s="8">
        <v>1</v>
      </c>
      <c r="I16" s="36">
        <f t="shared" si="0"/>
        <v>1520.388</v>
      </c>
      <c r="J16" s="8" t="s">
        <v>34</v>
      </c>
      <c r="K16" s="32"/>
      <c r="L16" s="32"/>
      <c r="M16" s="32"/>
      <c r="N16" s="32"/>
      <c r="Q16" s="33" t="s">
        <v>707</v>
      </c>
    </row>
    <row r="17" ht="22.5" customHeight="1" spans="1:17">
      <c r="A17" s="20">
        <v>12</v>
      </c>
      <c r="B17" s="20" t="s">
        <v>31</v>
      </c>
      <c r="C17" s="21" t="s">
        <v>32</v>
      </c>
      <c r="D17" s="8">
        <v>16</v>
      </c>
      <c r="E17" s="8">
        <v>1500</v>
      </c>
      <c r="F17" s="8">
        <v>8080</v>
      </c>
      <c r="G17" s="20" t="s">
        <v>33</v>
      </c>
      <c r="H17" s="8">
        <v>1</v>
      </c>
      <c r="I17" s="36">
        <f t="shared" si="0"/>
        <v>1522.272</v>
      </c>
      <c r="J17" s="8" t="s">
        <v>34</v>
      </c>
      <c r="K17" s="32"/>
      <c r="L17" s="32"/>
      <c r="M17" s="32"/>
      <c r="N17" s="32"/>
      <c r="Q17" s="33" t="s">
        <v>708</v>
      </c>
    </row>
    <row r="18" ht="22.5" customHeight="1" spans="1:18">
      <c r="A18" s="20">
        <v>13</v>
      </c>
      <c r="B18" s="20" t="s">
        <v>31</v>
      </c>
      <c r="C18" s="21" t="s">
        <v>32</v>
      </c>
      <c r="D18" s="8">
        <v>16</v>
      </c>
      <c r="E18" s="8">
        <v>1800</v>
      </c>
      <c r="F18" s="8">
        <v>7340</v>
      </c>
      <c r="G18" s="20" t="s">
        <v>33</v>
      </c>
      <c r="H18" s="8">
        <v>2</v>
      </c>
      <c r="I18" s="36">
        <f t="shared" si="0"/>
        <v>3318.8544</v>
      </c>
      <c r="J18" s="8" t="s">
        <v>11</v>
      </c>
      <c r="K18" s="32"/>
      <c r="L18" s="32"/>
      <c r="M18" s="32"/>
      <c r="N18" s="32"/>
      <c r="Q18" s="33" t="s">
        <v>709</v>
      </c>
      <c r="R18" s="33" t="s">
        <v>710</v>
      </c>
    </row>
    <row r="19" ht="22.5" customHeight="1" spans="1:17">
      <c r="A19" s="20">
        <v>14</v>
      </c>
      <c r="B19" s="20" t="s">
        <v>31</v>
      </c>
      <c r="C19" s="21" t="s">
        <v>32</v>
      </c>
      <c r="D19" s="8">
        <v>16</v>
      </c>
      <c r="E19" s="8">
        <v>1800</v>
      </c>
      <c r="F19" s="8">
        <v>7350</v>
      </c>
      <c r="G19" s="20" t="s">
        <v>33</v>
      </c>
      <c r="H19" s="8">
        <v>1</v>
      </c>
      <c r="I19" s="36">
        <f t="shared" si="0"/>
        <v>1661.688</v>
      </c>
      <c r="J19" s="8" t="s">
        <v>11</v>
      </c>
      <c r="K19" s="32"/>
      <c r="L19" s="32"/>
      <c r="M19" s="32"/>
      <c r="N19" s="32"/>
      <c r="Q19" s="33" t="s">
        <v>711</v>
      </c>
    </row>
    <row r="20" ht="22.5" customHeight="1" spans="1:17">
      <c r="A20" s="20">
        <v>15</v>
      </c>
      <c r="B20" s="20" t="s">
        <v>31</v>
      </c>
      <c r="C20" s="21" t="s">
        <v>32</v>
      </c>
      <c r="D20" s="8">
        <v>16</v>
      </c>
      <c r="E20" s="8">
        <v>1800</v>
      </c>
      <c r="F20" s="8">
        <v>7410</v>
      </c>
      <c r="G20" s="20" t="s">
        <v>33</v>
      </c>
      <c r="H20" s="8">
        <v>1</v>
      </c>
      <c r="I20" s="36">
        <f t="shared" si="0"/>
        <v>1675.2528</v>
      </c>
      <c r="J20" s="8" t="s">
        <v>11</v>
      </c>
      <c r="K20" s="32"/>
      <c r="L20" s="32"/>
      <c r="M20" s="32"/>
      <c r="N20" s="32"/>
      <c r="Q20" s="33" t="s">
        <v>712</v>
      </c>
    </row>
    <row r="21" ht="22.5" customHeight="1" spans="1:17">
      <c r="A21" s="20">
        <v>16</v>
      </c>
      <c r="B21" s="20" t="s">
        <v>31</v>
      </c>
      <c r="C21" s="21" t="s">
        <v>32</v>
      </c>
      <c r="D21" s="8">
        <v>16</v>
      </c>
      <c r="E21" s="8">
        <v>1800</v>
      </c>
      <c r="F21" s="8">
        <v>7470</v>
      </c>
      <c r="G21" s="20" t="s">
        <v>33</v>
      </c>
      <c r="H21" s="8">
        <v>1</v>
      </c>
      <c r="I21" s="36">
        <f t="shared" si="0"/>
        <v>1688.8176</v>
      </c>
      <c r="J21" s="8" t="s">
        <v>11</v>
      </c>
      <c r="K21" s="32"/>
      <c r="L21" s="32"/>
      <c r="M21" s="32"/>
      <c r="N21" s="32"/>
      <c r="Q21" s="33" t="s">
        <v>713</v>
      </c>
    </row>
    <row r="22" ht="22.5" customHeight="1" spans="1:17">
      <c r="A22" s="20">
        <v>17</v>
      </c>
      <c r="B22" s="20" t="s">
        <v>31</v>
      </c>
      <c r="C22" s="21" t="s">
        <v>32</v>
      </c>
      <c r="D22" s="8">
        <v>16</v>
      </c>
      <c r="E22" s="8">
        <v>1800</v>
      </c>
      <c r="F22" s="8">
        <v>7510</v>
      </c>
      <c r="G22" s="20" t="s">
        <v>33</v>
      </c>
      <c r="H22" s="8">
        <v>1</v>
      </c>
      <c r="I22" s="36">
        <f t="shared" si="0"/>
        <v>1697.8608</v>
      </c>
      <c r="J22" s="8" t="s">
        <v>11</v>
      </c>
      <c r="K22" s="32"/>
      <c r="L22" s="32"/>
      <c r="M22" s="32"/>
      <c r="N22" s="32"/>
      <c r="Q22" s="33" t="s">
        <v>714</v>
      </c>
    </row>
    <row r="23" ht="22.5" customHeight="1" spans="1:17">
      <c r="A23" s="20">
        <v>18</v>
      </c>
      <c r="B23" s="20" t="s">
        <v>31</v>
      </c>
      <c r="C23" s="21" t="s">
        <v>32</v>
      </c>
      <c r="D23" s="8">
        <v>16</v>
      </c>
      <c r="E23" s="8">
        <v>1800</v>
      </c>
      <c r="F23" s="8">
        <v>7520</v>
      </c>
      <c r="G23" s="20" t="s">
        <v>33</v>
      </c>
      <c r="H23" s="8">
        <v>1</v>
      </c>
      <c r="I23" s="36">
        <f t="shared" si="0"/>
        <v>1700.1216</v>
      </c>
      <c r="J23" s="8" t="s">
        <v>11</v>
      </c>
      <c r="K23" s="32"/>
      <c r="L23" s="32"/>
      <c r="M23" s="32"/>
      <c r="N23" s="32"/>
      <c r="Q23" s="33" t="s">
        <v>715</v>
      </c>
    </row>
    <row r="24" ht="22.5" customHeight="1" spans="1:17">
      <c r="A24" s="20">
        <v>19</v>
      </c>
      <c r="B24" s="20" t="s">
        <v>31</v>
      </c>
      <c r="C24" s="21" t="s">
        <v>32</v>
      </c>
      <c r="D24" s="8">
        <v>16</v>
      </c>
      <c r="E24" s="8">
        <v>1800</v>
      </c>
      <c r="F24" s="8">
        <v>7530</v>
      </c>
      <c r="G24" s="20" t="s">
        <v>33</v>
      </c>
      <c r="H24" s="8">
        <v>1</v>
      </c>
      <c r="I24" s="36">
        <f t="shared" si="0"/>
        <v>1702.3824</v>
      </c>
      <c r="J24" s="8" t="s">
        <v>11</v>
      </c>
      <c r="K24" s="32"/>
      <c r="L24" s="32"/>
      <c r="M24" s="32"/>
      <c r="N24" s="32"/>
      <c r="Q24" s="33" t="s">
        <v>716</v>
      </c>
    </row>
    <row r="25" ht="22.5" customHeight="1" spans="1:17">
      <c r="A25" s="20">
        <v>20</v>
      </c>
      <c r="B25" s="20" t="s">
        <v>31</v>
      </c>
      <c r="C25" s="21" t="s">
        <v>32</v>
      </c>
      <c r="D25" s="8">
        <v>16</v>
      </c>
      <c r="E25" s="8">
        <v>1800</v>
      </c>
      <c r="F25" s="8">
        <v>7630</v>
      </c>
      <c r="G25" s="20" t="s">
        <v>33</v>
      </c>
      <c r="H25" s="8">
        <v>1</v>
      </c>
      <c r="I25" s="36">
        <f t="shared" si="0"/>
        <v>1724.9904</v>
      </c>
      <c r="J25" s="8" t="s">
        <v>12</v>
      </c>
      <c r="K25" s="32"/>
      <c r="L25" s="32"/>
      <c r="M25" s="32"/>
      <c r="N25" s="32"/>
      <c r="Q25" s="33" t="s">
        <v>717</v>
      </c>
    </row>
    <row r="26" ht="22.5" customHeight="1" spans="1:17">
      <c r="A26" s="20">
        <v>21</v>
      </c>
      <c r="B26" s="20" t="s">
        <v>31</v>
      </c>
      <c r="C26" s="21" t="s">
        <v>32</v>
      </c>
      <c r="D26" s="8">
        <v>16</v>
      </c>
      <c r="E26" s="8">
        <v>1800</v>
      </c>
      <c r="F26" s="8">
        <v>7670</v>
      </c>
      <c r="G26" s="20" t="s">
        <v>33</v>
      </c>
      <c r="H26" s="8">
        <v>1</v>
      </c>
      <c r="I26" s="36">
        <f t="shared" si="0"/>
        <v>1734.0336</v>
      </c>
      <c r="J26" s="8" t="s">
        <v>11</v>
      </c>
      <c r="K26" s="32"/>
      <c r="L26" s="32"/>
      <c r="M26" s="32"/>
      <c r="N26" s="32"/>
      <c r="Q26" s="33" t="s">
        <v>718</v>
      </c>
    </row>
    <row r="27" ht="22.5" customHeight="1" spans="1:18">
      <c r="A27" s="20">
        <v>22</v>
      </c>
      <c r="B27" s="20" t="s">
        <v>31</v>
      </c>
      <c r="C27" s="21" t="s">
        <v>32</v>
      </c>
      <c r="D27" s="8">
        <v>16</v>
      </c>
      <c r="E27" s="8">
        <v>1800</v>
      </c>
      <c r="F27" s="8">
        <v>7710</v>
      </c>
      <c r="G27" s="20" t="s">
        <v>33</v>
      </c>
      <c r="H27" s="8">
        <v>2</v>
      </c>
      <c r="I27" s="36">
        <f t="shared" si="0"/>
        <v>3486.1536</v>
      </c>
      <c r="J27" s="8" t="s">
        <v>719</v>
      </c>
      <c r="K27" s="32"/>
      <c r="L27" s="32"/>
      <c r="M27" s="32"/>
      <c r="N27" s="32"/>
      <c r="Q27" s="33" t="s">
        <v>720</v>
      </c>
      <c r="R27" s="33" t="s">
        <v>721</v>
      </c>
    </row>
    <row r="28" ht="22.5" customHeight="1" spans="1:17">
      <c r="A28" s="20">
        <v>23</v>
      </c>
      <c r="B28" s="20" t="s">
        <v>31</v>
      </c>
      <c r="C28" s="21" t="s">
        <v>32</v>
      </c>
      <c r="D28" s="8">
        <v>16</v>
      </c>
      <c r="E28" s="8">
        <v>1800</v>
      </c>
      <c r="F28" s="8">
        <v>7740</v>
      </c>
      <c r="G28" s="20" t="s">
        <v>33</v>
      </c>
      <c r="H28" s="8">
        <v>1</v>
      </c>
      <c r="I28" s="36">
        <f t="shared" si="0"/>
        <v>1749.8592</v>
      </c>
      <c r="J28" s="8" t="s">
        <v>11</v>
      </c>
      <c r="K28" s="32"/>
      <c r="L28" s="32"/>
      <c r="M28" s="32"/>
      <c r="N28" s="32"/>
      <c r="Q28" s="33" t="s">
        <v>722</v>
      </c>
    </row>
    <row r="29" ht="22.5" customHeight="1" spans="1:17">
      <c r="A29" s="20">
        <v>24</v>
      </c>
      <c r="B29" s="20" t="s">
        <v>31</v>
      </c>
      <c r="C29" s="21" t="s">
        <v>32</v>
      </c>
      <c r="D29" s="8">
        <v>16</v>
      </c>
      <c r="E29" s="8">
        <v>1800</v>
      </c>
      <c r="F29" s="8">
        <v>8040</v>
      </c>
      <c r="G29" s="20" t="s">
        <v>33</v>
      </c>
      <c r="H29" s="8">
        <v>1</v>
      </c>
      <c r="I29" s="36">
        <f t="shared" si="0"/>
        <v>1817.6832</v>
      </c>
      <c r="J29" s="8" t="s">
        <v>12</v>
      </c>
      <c r="K29" s="32"/>
      <c r="L29" s="32"/>
      <c r="M29" s="32"/>
      <c r="N29" s="32"/>
      <c r="Q29" s="33" t="s">
        <v>723</v>
      </c>
    </row>
    <row r="30" ht="22.5" customHeight="1" spans="1:17">
      <c r="A30" s="20">
        <v>25</v>
      </c>
      <c r="B30" s="20" t="s">
        <v>31</v>
      </c>
      <c r="C30" s="21" t="s">
        <v>32</v>
      </c>
      <c r="D30" s="8">
        <v>16</v>
      </c>
      <c r="E30" s="8">
        <v>1800</v>
      </c>
      <c r="F30" s="8">
        <v>8050</v>
      </c>
      <c r="G30" s="20" t="s">
        <v>33</v>
      </c>
      <c r="H30" s="8">
        <v>1</v>
      </c>
      <c r="I30" s="36">
        <f t="shared" si="0"/>
        <v>1819.944</v>
      </c>
      <c r="J30" s="8" t="s">
        <v>12</v>
      </c>
      <c r="K30" s="32"/>
      <c r="L30" s="32"/>
      <c r="M30" s="32"/>
      <c r="N30" s="32"/>
      <c r="Q30" s="33" t="s">
        <v>724</v>
      </c>
    </row>
    <row r="31" ht="22.5" customHeight="1" spans="1:17">
      <c r="A31" s="20">
        <v>26</v>
      </c>
      <c r="B31" s="20" t="s">
        <v>31</v>
      </c>
      <c r="C31" s="21" t="s">
        <v>32</v>
      </c>
      <c r="D31" s="8">
        <v>16</v>
      </c>
      <c r="E31" s="8">
        <v>1800</v>
      </c>
      <c r="F31" s="8">
        <v>8100</v>
      </c>
      <c r="G31" s="20" t="s">
        <v>33</v>
      </c>
      <c r="H31" s="8">
        <v>1</v>
      </c>
      <c r="I31" s="36">
        <f t="shared" si="0"/>
        <v>1831.248</v>
      </c>
      <c r="J31" s="8" t="s">
        <v>34</v>
      </c>
      <c r="K31" s="32"/>
      <c r="L31" s="32"/>
      <c r="M31" s="32"/>
      <c r="N31" s="32"/>
      <c r="Q31" s="33" t="s">
        <v>725</v>
      </c>
    </row>
    <row r="32" ht="22.5" customHeight="1" spans="1:18">
      <c r="A32" s="20">
        <v>27</v>
      </c>
      <c r="B32" s="20" t="s">
        <v>31</v>
      </c>
      <c r="C32" s="21" t="s">
        <v>32</v>
      </c>
      <c r="D32" s="8">
        <v>16</v>
      </c>
      <c r="E32" s="8">
        <v>1800</v>
      </c>
      <c r="F32" s="8">
        <v>8110</v>
      </c>
      <c r="G32" s="20" t="s">
        <v>33</v>
      </c>
      <c r="H32" s="8">
        <v>2</v>
      </c>
      <c r="I32" s="36">
        <f t="shared" si="0"/>
        <v>3667.0176</v>
      </c>
      <c r="J32" s="8" t="s">
        <v>726</v>
      </c>
      <c r="K32" s="32"/>
      <c r="L32" s="32"/>
      <c r="M32" s="32"/>
      <c r="N32" s="32"/>
      <c r="Q32" s="33" t="s">
        <v>727</v>
      </c>
      <c r="R32" s="33" t="s">
        <v>728</v>
      </c>
    </row>
    <row r="33" ht="22.5" customHeight="1" spans="1:17">
      <c r="A33" s="20">
        <v>28</v>
      </c>
      <c r="B33" s="20" t="s">
        <v>31</v>
      </c>
      <c r="C33" s="21" t="s">
        <v>32</v>
      </c>
      <c r="D33" s="8">
        <v>16</v>
      </c>
      <c r="E33" s="8">
        <v>1800</v>
      </c>
      <c r="F33" s="8">
        <v>8140</v>
      </c>
      <c r="G33" s="20" t="s">
        <v>33</v>
      </c>
      <c r="H33" s="8">
        <v>1</v>
      </c>
      <c r="I33" s="36">
        <f t="shared" si="0"/>
        <v>1840.2912</v>
      </c>
      <c r="J33" s="8" t="s">
        <v>34</v>
      </c>
      <c r="K33" s="32"/>
      <c r="L33" s="32"/>
      <c r="M33" s="32"/>
      <c r="N33" s="32"/>
      <c r="Q33" s="33" t="s">
        <v>729</v>
      </c>
    </row>
    <row r="34" ht="22.5" customHeight="1" spans="1:17">
      <c r="A34" s="20">
        <v>29</v>
      </c>
      <c r="B34" s="20" t="s">
        <v>31</v>
      </c>
      <c r="C34" s="21" t="s">
        <v>32</v>
      </c>
      <c r="D34" s="8">
        <v>16</v>
      </c>
      <c r="E34" s="8">
        <v>1800</v>
      </c>
      <c r="F34" s="8">
        <v>8160</v>
      </c>
      <c r="G34" s="20" t="s">
        <v>33</v>
      </c>
      <c r="H34" s="8">
        <v>1</v>
      </c>
      <c r="I34" s="36">
        <f t="shared" si="0"/>
        <v>1844.8128</v>
      </c>
      <c r="J34" s="8" t="s">
        <v>34</v>
      </c>
      <c r="K34" s="32"/>
      <c r="L34" s="32"/>
      <c r="M34" s="32"/>
      <c r="N34" s="32"/>
      <c r="Q34" s="33" t="s">
        <v>730</v>
      </c>
    </row>
    <row r="35" ht="22.5" customHeight="1" spans="1:17">
      <c r="A35" s="20">
        <v>30</v>
      </c>
      <c r="B35" s="20" t="s">
        <v>31</v>
      </c>
      <c r="C35" s="21" t="s">
        <v>32</v>
      </c>
      <c r="D35" s="8">
        <v>16</v>
      </c>
      <c r="E35" s="8">
        <v>1800</v>
      </c>
      <c r="F35" s="8">
        <v>8190</v>
      </c>
      <c r="G35" s="20" t="s">
        <v>33</v>
      </c>
      <c r="H35" s="8">
        <v>1</v>
      </c>
      <c r="I35" s="36">
        <f t="shared" si="0"/>
        <v>1851.5952</v>
      </c>
      <c r="J35" s="8" t="s">
        <v>34</v>
      </c>
      <c r="K35" s="32"/>
      <c r="L35" s="32"/>
      <c r="M35" s="32"/>
      <c r="N35" s="32"/>
      <c r="Q35" s="33" t="s">
        <v>731</v>
      </c>
    </row>
    <row r="36" ht="22.5" customHeight="1" spans="1:18">
      <c r="A36" s="20">
        <v>31</v>
      </c>
      <c r="B36" s="20" t="s">
        <v>31</v>
      </c>
      <c r="C36" s="21" t="s">
        <v>32</v>
      </c>
      <c r="D36" s="8">
        <v>16</v>
      </c>
      <c r="E36" s="8">
        <v>1800</v>
      </c>
      <c r="F36" s="8">
        <v>8210</v>
      </c>
      <c r="G36" s="20" t="s">
        <v>33</v>
      </c>
      <c r="H36" s="8">
        <v>2</v>
      </c>
      <c r="I36" s="36">
        <f t="shared" si="0"/>
        <v>3712.2336</v>
      </c>
      <c r="J36" s="8" t="s">
        <v>34</v>
      </c>
      <c r="K36" s="32"/>
      <c r="L36" s="32"/>
      <c r="M36" s="32"/>
      <c r="N36" s="32"/>
      <c r="Q36" s="33" t="s">
        <v>732</v>
      </c>
      <c r="R36" s="33" t="s">
        <v>733</v>
      </c>
    </row>
    <row r="37" ht="22.5" customHeight="1" spans="1:17">
      <c r="A37" s="20">
        <v>32</v>
      </c>
      <c r="B37" s="20" t="s">
        <v>31</v>
      </c>
      <c r="C37" s="21" t="s">
        <v>32</v>
      </c>
      <c r="D37" s="8">
        <v>16</v>
      </c>
      <c r="E37" s="8">
        <v>1800</v>
      </c>
      <c r="F37" s="8">
        <v>8270</v>
      </c>
      <c r="G37" s="20" t="s">
        <v>33</v>
      </c>
      <c r="H37" s="8">
        <v>1</v>
      </c>
      <c r="I37" s="36">
        <f t="shared" si="0"/>
        <v>1869.6816</v>
      </c>
      <c r="J37" s="8" t="s">
        <v>34</v>
      </c>
      <c r="K37" s="32"/>
      <c r="L37" s="32"/>
      <c r="M37" s="32"/>
      <c r="N37" s="32"/>
      <c r="Q37" s="33" t="s">
        <v>734</v>
      </c>
    </row>
    <row r="38" ht="22.5" customHeight="1" spans="1:17">
      <c r="A38" s="20">
        <v>33</v>
      </c>
      <c r="B38" s="20" t="s">
        <v>31</v>
      </c>
      <c r="C38" s="21" t="s">
        <v>32</v>
      </c>
      <c r="D38" s="8">
        <v>16</v>
      </c>
      <c r="E38" s="8">
        <v>1800</v>
      </c>
      <c r="F38" s="8">
        <v>8280</v>
      </c>
      <c r="G38" s="20" t="s">
        <v>33</v>
      </c>
      <c r="H38" s="8">
        <v>1</v>
      </c>
      <c r="I38" s="36">
        <f t="shared" si="0"/>
        <v>1871.9424</v>
      </c>
      <c r="J38" s="8" t="s">
        <v>34</v>
      </c>
      <c r="K38" s="32"/>
      <c r="L38" s="32"/>
      <c r="M38" s="32"/>
      <c r="N38" s="32"/>
      <c r="Q38" s="33" t="s">
        <v>735</v>
      </c>
    </row>
    <row r="39" ht="22.5" customHeight="1" spans="1:17">
      <c r="A39" s="20">
        <v>34</v>
      </c>
      <c r="B39" s="20" t="s">
        <v>31</v>
      </c>
      <c r="C39" s="21" t="s">
        <v>32</v>
      </c>
      <c r="D39" s="8">
        <v>16</v>
      </c>
      <c r="E39" s="8">
        <v>1800</v>
      </c>
      <c r="F39" s="8">
        <v>9660</v>
      </c>
      <c r="G39" s="20" t="s">
        <v>33</v>
      </c>
      <c r="H39" s="8">
        <v>1</v>
      </c>
      <c r="I39" s="36">
        <f t="shared" si="0"/>
        <v>2183.9328</v>
      </c>
      <c r="J39" s="8" t="s">
        <v>11</v>
      </c>
      <c r="K39" s="32"/>
      <c r="L39" s="32"/>
      <c r="M39" s="32"/>
      <c r="N39" s="32"/>
      <c r="Q39" s="33" t="s">
        <v>736</v>
      </c>
    </row>
    <row r="40" ht="22.5" customHeight="1" spans="1:17">
      <c r="A40" s="20">
        <v>35</v>
      </c>
      <c r="B40" s="20" t="s">
        <v>31</v>
      </c>
      <c r="C40" s="21" t="s">
        <v>32</v>
      </c>
      <c r="D40" s="8">
        <v>16</v>
      </c>
      <c r="E40" s="8">
        <v>1800</v>
      </c>
      <c r="F40" s="8">
        <v>9870</v>
      </c>
      <c r="G40" s="20" t="s">
        <v>33</v>
      </c>
      <c r="H40" s="8">
        <v>1</v>
      </c>
      <c r="I40" s="36">
        <f t="shared" si="0"/>
        <v>2231.4096</v>
      </c>
      <c r="J40" s="8" t="s">
        <v>11</v>
      </c>
      <c r="K40" s="32"/>
      <c r="L40" s="32"/>
      <c r="M40" s="32"/>
      <c r="N40" s="32"/>
      <c r="Q40" s="33" t="s">
        <v>737</v>
      </c>
    </row>
    <row r="41" ht="22.5" customHeight="1" spans="1:17">
      <c r="A41" s="20">
        <v>36</v>
      </c>
      <c r="B41" s="20" t="s">
        <v>31</v>
      </c>
      <c r="C41" s="21" t="s">
        <v>32</v>
      </c>
      <c r="D41" s="8">
        <v>16</v>
      </c>
      <c r="E41" s="8">
        <v>1800</v>
      </c>
      <c r="F41" s="8">
        <v>9940</v>
      </c>
      <c r="G41" s="20" t="s">
        <v>33</v>
      </c>
      <c r="H41" s="8">
        <v>1</v>
      </c>
      <c r="I41" s="36">
        <f t="shared" si="0"/>
        <v>2247.2352</v>
      </c>
      <c r="J41" s="8" t="s">
        <v>12</v>
      </c>
      <c r="K41" s="32"/>
      <c r="L41" s="32"/>
      <c r="M41" s="32"/>
      <c r="N41" s="32"/>
      <c r="Q41" s="33" t="s">
        <v>738</v>
      </c>
    </row>
    <row r="42" ht="22.5" customHeight="1" spans="1:17">
      <c r="A42" s="20">
        <v>37</v>
      </c>
      <c r="B42" s="20" t="s">
        <v>31</v>
      </c>
      <c r="C42" s="21" t="s">
        <v>32</v>
      </c>
      <c r="D42" s="8">
        <v>16</v>
      </c>
      <c r="E42" s="8">
        <v>1800</v>
      </c>
      <c r="F42" s="8">
        <v>10090</v>
      </c>
      <c r="G42" s="20" t="s">
        <v>33</v>
      </c>
      <c r="H42" s="8">
        <v>1</v>
      </c>
      <c r="I42" s="36">
        <f t="shared" si="0"/>
        <v>2281.1472</v>
      </c>
      <c r="J42" s="8" t="s">
        <v>34</v>
      </c>
      <c r="K42" s="32"/>
      <c r="L42" s="32"/>
      <c r="M42" s="32"/>
      <c r="N42" s="32"/>
      <c r="Q42" s="33" t="s">
        <v>739</v>
      </c>
    </row>
    <row r="43" ht="22.5" customHeight="1" spans="1:17">
      <c r="A43" s="20">
        <v>38</v>
      </c>
      <c r="B43" s="20" t="s">
        <v>31</v>
      </c>
      <c r="C43" s="21" t="s">
        <v>32</v>
      </c>
      <c r="D43" s="8">
        <v>16</v>
      </c>
      <c r="E43" s="8">
        <v>1800</v>
      </c>
      <c r="F43" s="8">
        <v>11580</v>
      </c>
      <c r="G43" s="20" t="s">
        <v>33</v>
      </c>
      <c r="H43" s="8">
        <v>1</v>
      </c>
      <c r="I43" s="36">
        <f t="shared" si="0"/>
        <v>2618.0064</v>
      </c>
      <c r="J43" s="8" t="s">
        <v>12</v>
      </c>
      <c r="K43" s="32"/>
      <c r="L43" s="32"/>
      <c r="M43" s="32"/>
      <c r="N43" s="32"/>
      <c r="Q43" s="33" t="s">
        <v>740</v>
      </c>
    </row>
    <row r="44" ht="22.5" customHeight="1" spans="1:17">
      <c r="A44" s="20">
        <v>39</v>
      </c>
      <c r="B44" s="20" t="s">
        <v>31</v>
      </c>
      <c r="C44" s="21" t="s">
        <v>32</v>
      </c>
      <c r="D44" s="8">
        <v>16</v>
      </c>
      <c r="E44" s="8">
        <v>1800</v>
      </c>
      <c r="F44" s="8">
        <v>11710</v>
      </c>
      <c r="G44" s="20" t="s">
        <v>33</v>
      </c>
      <c r="H44" s="8">
        <v>1</v>
      </c>
      <c r="I44" s="36">
        <f t="shared" si="0"/>
        <v>2647.3968</v>
      </c>
      <c r="J44" s="8" t="s">
        <v>12</v>
      </c>
      <c r="K44" s="32"/>
      <c r="L44" s="32"/>
      <c r="M44" s="32"/>
      <c r="N44" s="32"/>
      <c r="Q44" s="33" t="s">
        <v>741</v>
      </c>
    </row>
    <row r="45" ht="22.5" customHeight="1" spans="1:17">
      <c r="A45" s="20">
        <v>40</v>
      </c>
      <c r="B45" s="20" t="s">
        <v>31</v>
      </c>
      <c r="C45" s="21" t="s">
        <v>32</v>
      </c>
      <c r="D45" s="8">
        <v>16</v>
      </c>
      <c r="E45" s="8">
        <v>1800</v>
      </c>
      <c r="F45" s="8">
        <v>11790</v>
      </c>
      <c r="G45" s="20" t="s">
        <v>33</v>
      </c>
      <c r="H45" s="8">
        <v>1</v>
      </c>
      <c r="I45" s="36">
        <f t="shared" si="0"/>
        <v>2665.4832</v>
      </c>
      <c r="J45" s="8" t="s">
        <v>12</v>
      </c>
      <c r="K45" s="32"/>
      <c r="L45" s="32"/>
      <c r="M45" s="32"/>
      <c r="N45" s="32"/>
      <c r="Q45" s="33" t="s">
        <v>742</v>
      </c>
    </row>
    <row r="46" ht="22.5" customHeight="1" spans="1:17">
      <c r="A46" s="20">
        <v>41</v>
      </c>
      <c r="B46" s="20" t="s">
        <v>31</v>
      </c>
      <c r="C46" s="21" t="s">
        <v>32</v>
      </c>
      <c r="D46" s="8">
        <v>16</v>
      </c>
      <c r="E46" s="8">
        <v>1800</v>
      </c>
      <c r="F46" s="8">
        <v>11880</v>
      </c>
      <c r="G46" s="20" t="s">
        <v>33</v>
      </c>
      <c r="H46" s="8">
        <v>1</v>
      </c>
      <c r="I46" s="36">
        <f t="shared" si="0"/>
        <v>2685.8304</v>
      </c>
      <c r="J46" s="8" t="s">
        <v>12</v>
      </c>
      <c r="K46" s="32"/>
      <c r="L46" s="32"/>
      <c r="M46" s="32"/>
      <c r="N46" s="32"/>
      <c r="Q46" s="33" t="s">
        <v>743</v>
      </c>
    </row>
    <row r="47" ht="22.5" customHeight="1" spans="1:17">
      <c r="A47" s="20">
        <v>42</v>
      </c>
      <c r="B47" s="20" t="s">
        <v>31</v>
      </c>
      <c r="C47" s="21" t="s">
        <v>32</v>
      </c>
      <c r="D47" s="8">
        <v>16</v>
      </c>
      <c r="E47" s="8">
        <v>1800</v>
      </c>
      <c r="F47" s="8">
        <v>11940</v>
      </c>
      <c r="G47" s="20" t="s">
        <v>33</v>
      </c>
      <c r="H47" s="8">
        <v>1</v>
      </c>
      <c r="I47" s="36">
        <f t="shared" si="0"/>
        <v>2699.3952</v>
      </c>
      <c r="J47" s="8" t="s">
        <v>12</v>
      </c>
      <c r="K47" s="32"/>
      <c r="L47" s="32"/>
      <c r="M47" s="32"/>
      <c r="N47" s="32"/>
      <c r="Q47" s="33" t="s">
        <v>744</v>
      </c>
    </row>
    <row r="48" ht="22.5" customHeight="1" spans="1:17">
      <c r="A48" s="20">
        <v>43</v>
      </c>
      <c r="B48" s="20" t="s">
        <v>31</v>
      </c>
      <c r="C48" s="21" t="s">
        <v>32</v>
      </c>
      <c r="D48" s="8">
        <v>16</v>
      </c>
      <c r="E48" s="8">
        <v>1800</v>
      </c>
      <c r="F48" s="8">
        <v>12200</v>
      </c>
      <c r="G48" s="20" t="s">
        <v>33</v>
      </c>
      <c r="H48" s="8">
        <v>1</v>
      </c>
      <c r="I48" s="36">
        <f t="shared" si="0"/>
        <v>2758.176</v>
      </c>
      <c r="J48" s="8" t="s">
        <v>12</v>
      </c>
      <c r="K48" s="32"/>
      <c r="L48" s="32"/>
      <c r="M48" s="32"/>
      <c r="N48" s="32"/>
      <c r="Q48" s="33" t="s">
        <v>745</v>
      </c>
    </row>
    <row r="49" ht="22.5" customHeight="1" spans="1:17">
      <c r="A49" s="20">
        <v>44</v>
      </c>
      <c r="B49" s="20" t="s">
        <v>31</v>
      </c>
      <c r="C49" s="21" t="s">
        <v>32</v>
      </c>
      <c r="D49" s="8">
        <v>16</v>
      </c>
      <c r="E49" s="8">
        <v>2000</v>
      </c>
      <c r="F49" s="8">
        <v>7770</v>
      </c>
      <c r="G49" s="20" t="s">
        <v>33</v>
      </c>
      <c r="H49" s="8">
        <v>1</v>
      </c>
      <c r="I49" s="36">
        <f t="shared" si="0"/>
        <v>1951.824</v>
      </c>
      <c r="J49" s="8" t="s">
        <v>11</v>
      </c>
      <c r="K49" s="32"/>
      <c r="L49" s="32"/>
      <c r="M49" s="32"/>
      <c r="N49" s="32"/>
      <c r="Q49" s="33" t="s">
        <v>746</v>
      </c>
    </row>
    <row r="50" ht="22.5" customHeight="1" spans="1:17">
      <c r="A50" s="20">
        <v>45</v>
      </c>
      <c r="B50" s="20" t="s">
        <v>31</v>
      </c>
      <c r="C50" s="21" t="s">
        <v>32</v>
      </c>
      <c r="D50" s="8">
        <v>16</v>
      </c>
      <c r="E50" s="8">
        <v>2000</v>
      </c>
      <c r="F50" s="8">
        <v>7860</v>
      </c>
      <c r="G50" s="20" t="s">
        <v>33</v>
      </c>
      <c r="H50" s="8">
        <v>1</v>
      </c>
      <c r="I50" s="36">
        <f t="shared" si="0"/>
        <v>1974.432</v>
      </c>
      <c r="J50" s="8" t="s">
        <v>11</v>
      </c>
      <c r="K50" s="32"/>
      <c r="L50" s="32"/>
      <c r="M50" s="32"/>
      <c r="N50" s="32"/>
      <c r="Q50" s="33" t="s">
        <v>747</v>
      </c>
    </row>
    <row r="51" ht="22.5" customHeight="1" spans="1:17">
      <c r="A51" s="20">
        <v>46</v>
      </c>
      <c r="B51" s="20" t="s">
        <v>31</v>
      </c>
      <c r="C51" s="21" t="s">
        <v>32</v>
      </c>
      <c r="D51" s="8">
        <v>16</v>
      </c>
      <c r="E51" s="8">
        <v>2000</v>
      </c>
      <c r="F51" s="8">
        <v>7880</v>
      </c>
      <c r="G51" s="20" t="s">
        <v>33</v>
      </c>
      <c r="H51" s="8">
        <v>1</v>
      </c>
      <c r="I51" s="36">
        <f t="shared" si="0"/>
        <v>1979.456</v>
      </c>
      <c r="J51" s="8" t="s">
        <v>11</v>
      </c>
      <c r="K51" s="32"/>
      <c r="L51" s="32"/>
      <c r="M51" s="32"/>
      <c r="N51" s="32"/>
      <c r="Q51" s="33" t="s">
        <v>748</v>
      </c>
    </row>
    <row r="52" ht="22.5" customHeight="1" spans="1:17">
      <c r="A52" s="20">
        <v>47</v>
      </c>
      <c r="B52" s="20" t="s">
        <v>31</v>
      </c>
      <c r="C52" s="21" t="s">
        <v>32</v>
      </c>
      <c r="D52" s="8">
        <v>16</v>
      </c>
      <c r="E52" s="8">
        <v>2000</v>
      </c>
      <c r="F52" s="8">
        <v>8090</v>
      </c>
      <c r="G52" s="20" t="s">
        <v>33</v>
      </c>
      <c r="H52" s="8">
        <v>1</v>
      </c>
      <c r="I52" s="36">
        <f t="shared" si="0"/>
        <v>2032.208</v>
      </c>
      <c r="J52" s="8" t="s">
        <v>34</v>
      </c>
      <c r="K52" s="32"/>
      <c r="L52" s="32"/>
      <c r="M52" s="32"/>
      <c r="N52" s="32"/>
      <c r="Q52" s="33" t="s">
        <v>749</v>
      </c>
    </row>
    <row r="53" ht="22.5" customHeight="1" spans="1:17">
      <c r="A53" s="20">
        <v>48</v>
      </c>
      <c r="B53" s="20" t="s">
        <v>31</v>
      </c>
      <c r="C53" s="21" t="s">
        <v>32</v>
      </c>
      <c r="D53" s="8">
        <v>16</v>
      </c>
      <c r="E53" s="8">
        <v>2000</v>
      </c>
      <c r="F53" s="8">
        <v>9740</v>
      </c>
      <c r="G53" s="20" t="s">
        <v>33</v>
      </c>
      <c r="H53" s="8">
        <v>1</v>
      </c>
      <c r="I53" s="36">
        <f t="shared" si="0"/>
        <v>2446.688</v>
      </c>
      <c r="J53" s="8" t="s">
        <v>11</v>
      </c>
      <c r="K53" s="32"/>
      <c r="L53" s="32"/>
      <c r="M53" s="32"/>
      <c r="N53" s="32"/>
      <c r="O53">
        <f>SUM(I9:I53)</f>
        <v>100053.9648</v>
      </c>
      <c r="P53">
        <f>[16]Sheet2!$Q$46</f>
        <v>100053.9648</v>
      </c>
      <c r="Q53" s="33" t="s">
        <v>750</v>
      </c>
    </row>
    <row r="54" ht="22.5" customHeight="1" spans="1:14">
      <c r="A54" s="5" t="s">
        <v>40</v>
      </c>
      <c r="B54" s="5"/>
      <c r="C54" s="5"/>
      <c r="D54" s="5"/>
      <c r="E54" s="5"/>
      <c r="F54" s="5"/>
      <c r="G54" s="5"/>
      <c r="H54" s="5"/>
      <c r="I54" s="34">
        <f>SUM(I6:I53)</f>
        <v>106617.3498</v>
      </c>
      <c r="J54" s="13"/>
      <c r="K54" s="32">
        <v>103957.36788</v>
      </c>
      <c r="L54" s="32"/>
      <c r="M54" s="32"/>
      <c r="N54" s="32"/>
    </row>
    <row r="55" ht="16.5" spans="1:10">
      <c r="A55" s="22" t="s">
        <v>41</v>
      </c>
      <c r="B55" s="22"/>
      <c r="C55" s="22"/>
      <c r="D55" s="22"/>
      <c r="E55" s="22"/>
      <c r="F55" s="22"/>
      <c r="G55" s="22"/>
      <c r="H55" s="22"/>
      <c r="I55" s="22"/>
      <c r="J55" s="22"/>
    </row>
    <row r="56" ht="16.5" spans="1:10">
      <c r="A56" s="22" t="s">
        <v>401</v>
      </c>
      <c r="B56" s="22"/>
      <c r="C56" s="22"/>
      <c r="D56" s="22"/>
      <c r="E56" s="22"/>
      <c r="F56" s="22"/>
      <c r="G56" s="22"/>
      <c r="H56" s="22"/>
      <c r="I56" s="22"/>
      <c r="J56" s="22"/>
    </row>
    <row r="57" ht="16.5" spans="1:10">
      <c r="A57" s="16" t="s">
        <v>457</v>
      </c>
      <c r="B57" s="17"/>
      <c r="C57" s="17"/>
      <c r="D57" s="17"/>
      <c r="E57" s="17"/>
      <c r="F57" s="17"/>
      <c r="G57" s="17"/>
      <c r="H57" s="17"/>
      <c r="I57" s="17"/>
      <c r="J57" s="17"/>
    </row>
  </sheetData>
  <autoFilter ref="A5:J57">
    <sortState ref="A5:J57">
      <sortCondition ref="E5"/>
    </sortState>
    <extLst/>
  </autoFilter>
  <mergeCells count="7">
    <mergeCell ref="A1:J1"/>
    <mergeCell ref="A2:J2"/>
    <mergeCell ref="A3:F3"/>
    <mergeCell ref="A54:H54"/>
    <mergeCell ref="A55:J55"/>
    <mergeCell ref="A56:J56"/>
    <mergeCell ref="A57:J57"/>
  </mergeCells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3"/>
  <dimension ref="A1:R54"/>
  <sheetViews>
    <sheetView topLeftCell="A38" workbookViewId="0">
      <selection activeCell="O4" sqref="O$1:R$1048576"/>
    </sheetView>
  </sheetViews>
  <sheetFormatPr defaultColWidth="9" defaultRowHeight="13.5"/>
  <cols>
    <col min="1" max="1" width="6.25" customWidth="1"/>
    <col min="2" max="2" width="7.75" customWidth="1"/>
    <col min="3" max="3" width="9.375" customWidth="1"/>
    <col min="4" max="4" width="8.625" customWidth="1"/>
    <col min="5" max="6" width="9.875" customWidth="1"/>
    <col min="7" max="7" width="7.625" customWidth="1"/>
    <col min="8" max="8" width="7.875" customWidth="1"/>
    <col min="9" max="9" width="10.125" style="14" customWidth="1"/>
    <col min="10" max="10" width="9.25" customWidth="1"/>
    <col min="11" max="11" width="15.3416666666667" hidden="1" customWidth="1"/>
    <col min="12" max="12" width="12.625" hidden="1" customWidth="1"/>
    <col min="13" max="13" width="11.175" hidden="1" customWidth="1"/>
    <col min="14" max="15" width="12.625" hidden="1" customWidth="1"/>
    <col min="16" max="18" width="9" hidden="1" customWidth="1"/>
  </cols>
  <sheetData>
    <row r="1" ht="28.5" customHeight="1" spans="1:14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  <c r="K1" s="24"/>
      <c r="L1" s="24"/>
      <c r="M1" s="24"/>
      <c r="N1" s="24"/>
    </row>
    <row r="2" ht="28.5" customHeight="1" spans="1:14">
      <c r="A2" s="15" t="s">
        <v>20</v>
      </c>
      <c r="B2" s="15"/>
      <c r="C2" s="15"/>
      <c r="D2" s="15"/>
      <c r="E2" s="15"/>
      <c r="F2" s="15"/>
      <c r="G2" s="15"/>
      <c r="H2" s="15"/>
      <c r="I2" s="23"/>
      <c r="J2" s="15"/>
      <c r="K2" s="24"/>
      <c r="L2" s="24"/>
      <c r="M2" s="24"/>
      <c r="N2" s="24"/>
    </row>
    <row r="3" ht="22.5" customHeight="1" spans="1:14">
      <c r="A3" s="16" t="s">
        <v>21</v>
      </c>
      <c r="B3" s="17"/>
      <c r="C3" s="17"/>
      <c r="D3" s="17"/>
      <c r="E3" s="17"/>
      <c r="F3" s="17"/>
      <c r="G3" s="17"/>
      <c r="H3" s="17"/>
      <c r="I3" s="25"/>
      <c r="J3" s="26"/>
      <c r="K3" s="27"/>
      <c r="L3" s="27"/>
      <c r="M3" s="27"/>
      <c r="N3" s="27"/>
    </row>
    <row r="4" ht="22.5" customHeight="1" spans="1:14">
      <c r="A4" s="18" t="s">
        <v>751</v>
      </c>
      <c r="B4" s="19"/>
      <c r="C4" s="19"/>
      <c r="D4" s="17"/>
      <c r="E4" s="19"/>
      <c r="F4" s="19"/>
      <c r="G4" s="17"/>
      <c r="H4" s="17"/>
      <c r="I4" s="28"/>
      <c r="J4" s="26"/>
      <c r="K4" s="27"/>
      <c r="L4" s="27"/>
      <c r="M4" s="27"/>
      <c r="N4" s="27"/>
    </row>
    <row r="5" ht="22.5" customHeight="1" spans="1:14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29" t="s">
        <v>29</v>
      </c>
      <c r="J5" s="11" t="s">
        <v>30</v>
      </c>
      <c r="K5" s="30"/>
      <c r="L5" s="30"/>
      <c r="M5" s="30"/>
      <c r="N5" s="30"/>
    </row>
    <row r="6" ht="22.5" customHeight="1" spans="1:14">
      <c r="A6" s="20">
        <v>1</v>
      </c>
      <c r="B6" s="20" t="s">
        <v>31</v>
      </c>
      <c r="C6" s="21" t="s">
        <v>32</v>
      </c>
      <c r="D6" s="35">
        <v>12</v>
      </c>
      <c r="E6" s="35">
        <v>1500</v>
      </c>
      <c r="F6" s="35">
        <v>11410</v>
      </c>
      <c r="G6" s="20" t="s">
        <v>33</v>
      </c>
      <c r="H6" s="35">
        <v>1</v>
      </c>
      <c r="I6" s="36">
        <f>H6*F6*E6*D6*7.85/1000000</f>
        <v>1612.233</v>
      </c>
      <c r="J6" s="38" t="s">
        <v>234</v>
      </c>
      <c r="K6" s="37" t="s">
        <v>752</v>
      </c>
      <c r="L6" s="8">
        <v>1</v>
      </c>
      <c r="M6" s="32"/>
      <c r="N6" s="32"/>
    </row>
    <row r="7" ht="22.5" customHeight="1" spans="1:14">
      <c r="A7" s="20">
        <v>2</v>
      </c>
      <c r="B7" s="20" t="s">
        <v>31</v>
      </c>
      <c r="C7" s="21" t="s">
        <v>32</v>
      </c>
      <c r="D7" s="35">
        <v>12</v>
      </c>
      <c r="E7" s="35">
        <v>1500</v>
      </c>
      <c r="F7" s="35">
        <v>12320</v>
      </c>
      <c r="G7" s="20" t="s">
        <v>33</v>
      </c>
      <c r="H7" s="35">
        <v>1</v>
      </c>
      <c r="I7" s="36">
        <f>H7*F7*E7*D7*7.85/1000000</f>
        <v>1740.816</v>
      </c>
      <c r="J7" s="35" t="s">
        <v>17</v>
      </c>
      <c r="K7" s="37" t="s">
        <v>753</v>
      </c>
      <c r="L7" s="8">
        <v>1</v>
      </c>
      <c r="M7" s="32"/>
      <c r="N7" s="32"/>
    </row>
    <row r="8" ht="22.5" customHeight="1" spans="1:14">
      <c r="A8" s="20">
        <v>3</v>
      </c>
      <c r="B8" s="20" t="s">
        <v>31</v>
      </c>
      <c r="C8" s="21" t="s">
        <v>32</v>
      </c>
      <c r="D8" s="35">
        <v>12</v>
      </c>
      <c r="E8" s="35">
        <f>1960+40</f>
        <v>2000</v>
      </c>
      <c r="F8" s="35">
        <v>10020</v>
      </c>
      <c r="G8" s="20" t="s">
        <v>33</v>
      </c>
      <c r="H8" s="35">
        <v>2</v>
      </c>
      <c r="I8" s="36">
        <f>H8*F8*E8*D8*7.85/1000000</f>
        <v>3775.536</v>
      </c>
      <c r="J8" s="35" t="s">
        <v>16</v>
      </c>
      <c r="K8" s="37" t="s">
        <v>754</v>
      </c>
      <c r="L8" s="8">
        <v>1</v>
      </c>
      <c r="M8" s="8" t="s">
        <v>755</v>
      </c>
      <c r="N8" s="8">
        <v>1</v>
      </c>
    </row>
    <row r="9" ht="22.5" customHeight="1" spans="1:18">
      <c r="A9" s="20">
        <v>4</v>
      </c>
      <c r="B9" s="20" t="s">
        <v>31</v>
      </c>
      <c r="C9" s="21" t="s">
        <v>32</v>
      </c>
      <c r="D9" s="8">
        <v>16</v>
      </c>
      <c r="E9" s="8">
        <v>1500</v>
      </c>
      <c r="F9" s="8">
        <v>7420</v>
      </c>
      <c r="G9" s="20" t="s">
        <v>33</v>
      </c>
      <c r="H9" s="8">
        <v>4</v>
      </c>
      <c r="I9" s="36">
        <f t="shared" ref="I9:I50" si="0">H9*F9*E9*D9*7.85/1000000</f>
        <v>5591.712</v>
      </c>
      <c r="J9" s="20" t="s">
        <v>11</v>
      </c>
      <c r="K9" s="32"/>
      <c r="L9" s="32"/>
      <c r="M9" s="32"/>
      <c r="N9" s="32"/>
      <c r="O9" s="33" t="s">
        <v>756</v>
      </c>
      <c r="P9" s="33" t="s">
        <v>757</v>
      </c>
      <c r="Q9" s="33" t="s">
        <v>758</v>
      </c>
      <c r="R9" s="33" t="s">
        <v>759</v>
      </c>
    </row>
    <row r="10" ht="22.5" customHeight="1" spans="1:17">
      <c r="A10" s="20">
        <v>5</v>
      </c>
      <c r="B10" s="20" t="s">
        <v>31</v>
      </c>
      <c r="C10" s="21" t="s">
        <v>32</v>
      </c>
      <c r="D10" s="8">
        <v>16</v>
      </c>
      <c r="E10" s="8">
        <v>1500</v>
      </c>
      <c r="F10" s="8">
        <v>7430</v>
      </c>
      <c r="G10" s="20" t="s">
        <v>33</v>
      </c>
      <c r="H10" s="8">
        <v>3</v>
      </c>
      <c r="I10" s="36">
        <f t="shared" si="0"/>
        <v>4199.436</v>
      </c>
      <c r="J10" s="20" t="s">
        <v>11</v>
      </c>
      <c r="K10" s="32"/>
      <c r="L10" s="32"/>
      <c r="M10" s="32"/>
      <c r="N10" s="32"/>
      <c r="O10" s="33" t="s">
        <v>760</v>
      </c>
      <c r="P10" s="33" t="s">
        <v>761</v>
      </c>
      <c r="Q10" s="33" t="s">
        <v>762</v>
      </c>
    </row>
    <row r="11" ht="22.5" customHeight="1" spans="1:15">
      <c r="A11" s="20">
        <v>6</v>
      </c>
      <c r="B11" s="20" t="s">
        <v>31</v>
      </c>
      <c r="C11" s="21" t="s">
        <v>32</v>
      </c>
      <c r="D11" s="8">
        <v>16</v>
      </c>
      <c r="E11" s="8">
        <v>1500</v>
      </c>
      <c r="F11" s="8">
        <v>7450</v>
      </c>
      <c r="G11" s="20" t="s">
        <v>33</v>
      </c>
      <c r="H11" s="8">
        <v>1</v>
      </c>
      <c r="I11" s="36">
        <f t="shared" si="0"/>
        <v>1403.58</v>
      </c>
      <c r="J11" s="20" t="s">
        <v>11</v>
      </c>
      <c r="K11" s="32"/>
      <c r="L11" s="32"/>
      <c r="M11" s="32"/>
      <c r="N11" s="32"/>
      <c r="O11" s="33" t="s">
        <v>763</v>
      </c>
    </row>
    <row r="12" ht="22.5" customHeight="1" spans="1:15">
      <c r="A12" s="20">
        <v>7</v>
      </c>
      <c r="B12" s="20" t="s">
        <v>31</v>
      </c>
      <c r="C12" s="21" t="s">
        <v>32</v>
      </c>
      <c r="D12" s="8">
        <v>16</v>
      </c>
      <c r="E12" s="8">
        <v>1500</v>
      </c>
      <c r="F12" s="8">
        <v>7480</v>
      </c>
      <c r="G12" s="20" t="s">
        <v>33</v>
      </c>
      <c r="H12" s="8">
        <v>1</v>
      </c>
      <c r="I12" s="36">
        <f t="shared" si="0"/>
        <v>1409.232</v>
      </c>
      <c r="J12" s="20" t="s">
        <v>11</v>
      </c>
      <c r="K12" s="32"/>
      <c r="L12" s="32"/>
      <c r="M12" s="32"/>
      <c r="N12" s="32"/>
      <c r="O12" s="33" t="s">
        <v>764</v>
      </c>
    </row>
    <row r="13" ht="22.5" customHeight="1" spans="1:17">
      <c r="A13" s="20">
        <v>8</v>
      </c>
      <c r="B13" s="20" t="s">
        <v>31</v>
      </c>
      <c r="C13" s="21" t="s">
        <v>32</v>
      </c>
      <c r="D13" s="8">
        <v>16</v>
      </c>
      <c r="E13" s="8">
        <v>1500</v>
      </c>
      <c r="F13" s="8">
        <v>7740</v>
      </c>
      <c r="G13" s="20" t="s">
        <v>33</v>
      </c>
      <c r="H13" s="8">
        <v>3</v>
      </c>
      <c r="I13" s="36">
        <f t="shared" si="0"/>
        <v>4374.648</v>
      </c>
      <c r="J13" s="20" t="s">
        <v>11</v>
      </c>
      <c r="K13" s="32"/>
      <c r="L13" s="32"/>
      <c r="M13" s="32"/>
      <c r="N13" s="32"/>
      <c r="O13" s="33" t="s">
        <v>765</v>
      </c>
      <c r="P13" s="33" t="s">
        <v>766</v>
      </c>
      <c r="Q13" s="33" t="s">
        <v>767</v>
      </c>
    </row>
    <row r="14" ht="22.5" customHeight="1" spans="1:15">
      <c r="A14" s="20">
        <v>9</v>
      </c>
      <c r="B14" s="20" t="s">
        <v>31</v>
      </c>
      <c r="C14" s="21" t="s">
        <v>32</v>
      </c>
      <c r="D14" s="8">
        <v>16</v>
      </c>
      <c r="E14" s="8">
        <v>1500</v>
      </c>
      <c r="F14" s="8">
        <v>8020</v>
      </c>
      <c r="G14" s="20" t="s">
        <v>33</v>
      </c>
      <c r="H14" s="8">
        <v>1</v>
      </c>
      <c r="I14" s="36">
        <f t="shared" si="0"/>
        <v>1510.968</v>
      </c>
      <c r="J14" s="20" t="s">
        <v>34</v>
      </c>
      <c r="K14" s="32"/>
      <c r="L14" s="32"/>
      <c r="M14" s="32"/>
      <c r="N14" s="32"/>
      <c r="O14" s="33" t="s">
        <v>768</v>
      </c>
    </row>
    <row r="15" ht="22.5" customHeight="1" spans="1:15">
      <c r="A15" s="20">
        <v>10</v>
      </c>
      <c r="B15" s="20" t="s">
        <v>31</v>
      </c>
      <c r="C15" s="21" t="s">
        <v>32</v>
      </c>
      <c r="D15" s="8">
        <v>16</v>
      </c>
      <c r="E15" s="8">
        <v>1500</v>
      </c>
      <c r="F15" s="8">
        <v>8030</v>
      </c>
      <c r="G15" s="20" t="s">
        <v>33</v>
      </c>
      <c r="H15" s="8">
        <v>1</v>
      </c>
      <c r="I15" s="36">
        <f t="shared" si="0"/>
        <v>1512.852</v>
      </c>
      <c r="J15" s="20" t="s">
        <v>34</v>
      </c>
      <c r="K15" s="32"/>
      <c r="L15" s="32"/>
      <c r="M15" s="32"/>
      <c r="N15" s="32"/>
      <c r="O15" s="33" t="s">
        <v>769</v>
      </c>
    </row>
    <row r="16" ht="22.5" customHeight="1" spans="1:16">
      <c r="A16" s="20">
        <v>11</v>
      </c>
      <c r="B16" s="20" t="s">
        <v>31</v>
      </c>
      <c r="C16" s="21" t="s">
        <v>32</v>
      </c>
      <c r="D16" s="8">
        <v>16</v>
      </c>
      <c r="E16" s="8">
        <v>1500</v>
      </c>
      <c r="F16" s="8">
        <v>8040</v>
      </c>
      <c r="G16" s="20" t="s">
        <v>33</v>
      </c>
      <c r="H16" s="8">
        <v>2</v>
      </c>
      <c r="I16" s="36">
        <f t="shared" si="0"/>
        <v>3029.472</v>
      </c>
      <c r="J16" s="20" t="s">
        <v>34</v>
      </c>
      <c r="K16" s="32"/>
      <c r="L16" s="32"/>
      <c r="M16" s="32"/>
      <c r="N16" s="32"/>
      <c r="O16" s="33" t="s">
        <v>770</v>
      </c>
      <c r="P16" s="33" t="s">
        <v>771</v>
      </c>
    </row>
    <row r="17" ht="22.5" customHeight="1" spans="1:15">
      <c r="A17" s="20">
        <v>12</v>
      </c>
      <c r="B17" s="20" t="s">
        <v>31</v>
      </c>
      <c r="C17" s="21" t="s">
        <v>32</v>
      </c>
      <c r="D17" s="8">
        <v>16</v>
      </c>
      <c r="E17" s="8">
        <v>1800</v>
      </c>
      <c r="F17" s="8">
        <v>6440</v>
      </c>
      <c r="G17" s="20" t="s">
        <v>33</v>
      </c>
      <c r="H17" s="8">
        <v>1</v>
      </c>
      <c r="I17" s="36">
        <f t="shared" si="0"/>
        <v>1455.9552</v>
      </c>
      <c r="J17" s="20" t="s">
        <v>12</v>
      </c>
      <c r="K17" s="32"/>
      <c r="L17" s="32"/>
      <c r="M17" s="32"/>
      <c r="N17" s="32"/>
      <c r="O17" s="33" t="s">
        <v>772</v>
      </c>
    </row>
    <row r="18" ht="22.5" customHeight="1" spans="1:15">
      <c r="A18" s="20">
        <v>13</v>
      </c>
      <c r="B18" s="20" t="s">
        <v>31</v>
      </c>
      <c r="C18" s="21" t="s">
        <v>32</v>
      </c>
      <c r="D18" s="8">
        <v>16</v>
      </c>
      <c r="E18" s="8">
        <v>1800</v>
      </c>
      <c r="F18" s="8">
        <v>6870</v>
      </c>
      <c r="G18" s="20" t="s">
        <v>33</v>
      </c>
      <c r="H18" s="8">
        <v>1</v>
      </c>
      <c r="I18" s="36">
        <f t="shared" si="0"/>
        <v>1553.1696</v>
      </c>
      <c r="J18" s="20" t="s">
        <v>12</v>
      </c>
      <c r="K18" s="32"/>
      <c r="L18" s="32"/>
      <c r="M18" s="32"/>
      <c r="N18" s="32"/>
      <c r="O18" s="33" t="s">
        <v>773</v>
      </c>
    </row>
    <row r="19" ht="22.5" customHeight="1" spans="1:15">
      <c r="A19" s="20">
        <v>14</v>
      </c>
      <c r="B19" s="20" t="s">
        <v>31</v>
      </c>
      <c r="C19" s="21" t="s">
        <v>32</v>
      </c>
      <c r="D19" s="8">
        <v>16</v>
      </c>
      <c r="E19" s="8">
        <v>1800</v>
      </c>
      <c r="F19" s="8">
        <v>7240</v>
      </c>
      <c r="G19" s="20" t="s">
        <v>33</v>
      </c>
      <c r="H19" s="8">
        <v>1</v>
      </c>
      <c r="I19" s="36">
        <f t="shared" si="0"/>
        <v>1636.8192</v>
      </c>
      <c r="J19" s="20" t="s">
        <v>11</v>
      </c>
      <c r="K19" s="32"/>
      <c r="L19" s="32"/>
      <c r="M19" s="32"/>
      <c r="N19" s="32"/>
      <c r="O19" s="33" t="s">
        <v>774</v>
      </c>
    </row>
    <row r="20" ht="22.5" customHeight="1" spans="1:15">
      <c r="A20" s="20">
        <v>15</v>
      </c>
      <c r="B20" s="20" t="s">
        <v>31</v>
      </c>
      <c r="C20" s="21" t="s">
        <v>32</v>
      </c>
      <c r="D20" s="8">
        <v>16</v>
      </c>
      <c r="E20" s="8">
        <v>1800</v>
      </c>
      <c r="F20" s="8">
        <v>7310</v>
      </c>
      <c r="G20" s="20" t="s">
        <v>33</v>
      </c>
      <c r="H20" s="8">
        <v>1</v>
      </c>
      <c r="I20" s="36">
        <f t="shared" si="0"/>
        <v>1652.6448</v>
      </c>
      <c r="J20" s="20" t="s">
        <v>11</v>
      </c>
      <c r="K20" s="32"/>
      <c r="L20" s="32"/>
      <c r="M20" s="32"/>
      <c r="N20" s="32"/>
      <c r="O20" s="33" t="s">
        <v>775</v>
      </c>
    </row>
    <row r="21" ht="22.5" customHeight="1" spans="1:15">
      <c r="A21" s="20">
        <v>16</v>
      </c>
      <c r="B21" s="20" t="s">
        <v>31</v>
      </c>
      <c r="C21" s="21" t="s">
        <v>32</v>
      </c>
      <c r="D21" s="8">
        <v>16</v>
      </c>
      <c r="E21" s="8">
        <v>1800</v>
      </c>
      <c r="F21" s="8">
        <v>7340</v>
      </c>
      <c r="G21" s="20" t="s">
        <v>33</v>
      </c>
      <c r="H21" s="8">
        <v>1</v>
      </c>
      <c r="I21" s="36">
        <f t="shared" si="0"/>
        <v>1659.4272</v>
      </c>
      <c r="J21" s="20" t="s">
        <v>11</v>
      </c>
      <c r="K21" s="32"/>
      <c r="L21" s="32"/>
      <c r="M21" s="32"/>
      <c r="N21" s="32"/>
      <c r="O21" s="33" t="s">
        <v>776</v>
      </c>
    </row>
    <row r="22" ht="22.5" customHeight="1" spans="1:15">
      <c r="A22" s="20">
        <v>17</v>
      </c>
      <c r="B22" s="20" t="s">
        <v>31</v>
      </c>
      <c r="C22" s="21" t="s">
        <v>32</v>
      </c>
      <c r="D22" s="8">
        <v>16</v>
      </c>
      <c r="E22" s="8">
        <v>1800</v>
      </c>
      <c r="F22" s="8">
        <v>7550</v>
      </c>
      <c r="G22" s="20" t="s">
        <v>33</v>
      </c>
      <c r="H22" s="8">
        <v>1</v>
      </c>
      <c r="I22" s="36">
        <f t="shared" si="0"/>
        <v>1706.904</v>
      </c>
      <c r="J22" s="20" t="s">
        <v>11</v>
      </c>
      <c r="K22" s="32"/>
      <c r="L22" s="32"/>
      <c r="M22" s="32"/>
      <c r="N22" s="32"/>
      <c r="O22" s="33" t="s">
        <v>777</v>
      </c>
    </row>
    <row r="23" ht="22.5" customHeight="1" spans="1:15">
      <c r="A23" s="20">
        <v>18</v>
      </c>
      <c r="B23" s="20" t="s">
        <v>31</v>
      </c>
      <c r="C23" s="21" t="s">
        <v>32</v>
      </c>
      <c r="D23" s="8">
        <v>16</v>
      </c>
      <c r="E23" s="8">
        <v>1800</v>
      </c>
      <c r="F23" s="8">
        <v>7590</v>
      </c>
      <c r="G23" s="20" t="s">
        <v>33</v>
      </c>
      <c r="H23" s="8">
        <v>1</v>
      </c>
      <c r="I23" s="36">
        <f t="shared" si="0"/>
        <v>1715.9472</v>
      </c>
      <c r="J23" s="20" t="s">
        <v>11</v>
      </c>
      <c r="K23" s="32"/>
      <c r="L23" s="32"/>
      <c r="M23" s="32"/>
      <c r="N23" s="32"/>
      <c r="O23" s="33" t="s">
        <v>778</v>
      </c>
    </row>
    <row r="24" ht="22.5" customHeight="1" spans="1:15">
      <c r="A24" s="20">
        <v>19</v>
      </c>
      <c r="B24" s="20" t="s">
        <v>31</v>
      </c>
      <c r="C24" s="21" t="s">
        <v>32</v>
      </c>
      <c r="D24" s="8">
        <v>16</v>
      </c>
      <c r="E24" s="8">
        <v>1800</v>
      </c>
      <c r="F24" s="8">
        <v>7620</v>
      </c>
      <c r="G24" s="20" t="s">
        <v>33</v>
      </c>
      <c r="H24" s="8">
        <v>1</v>
      </c>
      <c r="I24" s="36">
        <f t="shared" si="0"/>
        <v>1722.7296</v>
      </c>
      <c r="J24" s="20" t="s">
        <v>12</v>
      </c>
      <c r="K24" s="32"/>
      <c r="L24" s="32"/>
      <c r="M24" s="32"/>
      <c r="N24" s="32"/>
      <c r="O24" s="33" t="s">
        <v>779</v>
      </c>
    </row>
    <row r="25" ht="22.5" customHeight="1" spans="1:15">
      <c r="A25" s="20">
        <v>20</v>
      </c>
      <c r="B25" s="20" t="s">
        <v>31</v>
      </c>
      <c r="C25" s="21" t="s">
        <v>32</v>
      </c>
      <c r="D25" s="8">
        <v>16</v>
      </c>
      <c r="E25" s="8">
        <v>1800</v>
      </c>
      <c r="F25" s="8">
        <v>7640</v>
      </c>
      <c r="G25" s="20" t="s">
        <v>33</v>
      </c>
      <c r="H25" s="8">
        <v>1</v>
      </c>
      <c r="I25" s="36">
        <f t="shared" si="0"/>
        <v>1727.2512</v>
      </c>
      <c r="J25" s="20" t="s">
        <v>12</v>
      </c>
      <c r="K25" s="32"/>
      <c r="L25" s="32"/>
      <c r="M25" s="32"/>
      <c r="N25" s="32"/>
      <c r="O25" s="33" t="s">
        <v>780</v>
      </c>
    </row>
    <row r="26" ht="22.5" customHeight="1" spans="1:15">
      <c r="A26" s="20">
        <v>21</v>
      </c>
      <c r="B26" s="20" t="s">
        <v>31</v>
      </c>
      <c r="C26" s="21" t="s">
        <v>32</v>
      </c>
      <c r="D26" s="8">
        <v>16</v>
      </c>
      <c r="E26" s="8">
        <v>1800</v>
      </c>
      <c r="F26" s="8">
        <v>7680</v>
      </c>
      <c r="G26" s="20" t="s">
        <v>33</v>
      </c>
      <c r="H26" s="8">
        <v>1</v>
      </c>
      <c r="I26" s="36">
        <f t="shared" si="0"/>
        <v>1736.2944</v>
      </c>
      <c r="J26" s="20" t="s">
        <v>12</v>
      </c>
      <c r="K26" s="32"/>
      <c r="L26" s="32"/>
      <c r="M26" s="32"/>
      <c r="N26" s="32"/>
      <c r="O26" s="33" t="s">
        <v>781</v>
      </c>
    </row>
    <row r="27" ht="22.5" customHeight="1" spans="1:15">
      <c r="A27" s="20">
        <v>22</v>
      </c>
      <c r="B27" s="20" t="s">
        <v>31</v>
      </c>
      <c r="C27" s="21" t="s">
        <v>32</v>
      </c>
      <c r="D27" s="8">
        <v>16</v>
      </c>
      <c r="E27" s="8">
        <v>1800</v>
      </c>
      <c r="F27" s="8">
        <v>7790</v>
      </c>
      <c r="G27" s="20" t="s">
        <v>33</v>
      </c>
      <c r="H27" s="8">
        <v>1</v>
      </c>
      <c r="I27" s="36">
        <f t="shared" si="0"/>
        <v>1761.1632</v>
      </c>
      <c r="J27" s="20" t="s">
        <v>12</v>
      </c>
      <c r="K27" s="32"/>
      <c r="L27" s="32"/>
      <c r="M27" s="32"/>
      <c r="N27" s="32"/>
      <c r="O27" s="33" t="s">
        <v>782</v>
      </c>
    </row>
    <row r="28" ht="22.5" customHeight="1" spans="1:15">
      <c r="A28" s="20">
        <v>23</v>
      </c>
      <c r="B28" s="20" t="s">
        <v>31</v>
      </c>
      <c r="C28" s="21" t="s">
        <v>32</v>
      </c>
      <c r="D28" s="8">
        <v>16</v>
      </c>
      <c r="E28" s="8">
        <v>1800</v>
      </c>
      <c r="F28" s="8">
        <v>8020</v>
      </c>
      <c r="G28" s="20" t="s">
        <v>33</v>
      </c>
      <c r="H28" s="8">
        <v>1</v>
      </c>
      <c r="I28" s="36">
        <f t="shared" si="0"/>
        <v>1813.1616</v>
      </c>
      <c r="J28" s="20" t="s">
        <v>11</v>
      </c>
      <c r="K28" s="32"/>
      <c r="L28" s="32"/>
      <c r="M28" s="32"/>
      <c r="N28" s="32"/>
      <c r="O28" s="33" t="s">
        <v>783</v>
      </c>
    </row>
    <row r="29" ht="22.5" customHeight="1" spans="1:15">
      <c r="A29" s="20">
        <v>24</v>
      </c>
      <c r="B29" s="20" t="s">
        <v>31</v>
      </c>
      <c r="C29" s="21" t="s">
        <v>32</v>
      </c>
      <c r="D29" s="8">
        <v>16</v>
      </c>
      <c r="E29" s="8">
        <v>1800</v>
      </c>
      <c r="F29" s="8">
        <v>8030</v>
      </c>
      <c r="G29" s="20" t="s">
        <v>33</v>
      </c>
      <c r="H29" s="8">
        <v>1</v>
      </c>
      <c r="I29" s="36">
        <f t="shared" si="0"/>
        <v>1815.4224</v>
      </c>
      <c r="J29" s="20" t="s">
        <v>12</v>
      </c>
      <c r="K29" s="32"/>
      <c r="L29" s="32"/>
      <c r="M29" s="32"/>
      <c r="N29" s="32"/>
      <c r="O29" s="33" t="s">
        <v>784</v>
      </c>
    </row>
    <row r="30" ht="22.5" customHeight="1" spans="1:15">
      <c r="A30" s="20">
        <v>25</v>
      </c>
      <c r="B30" s="20" t="s">
        <v>31</v>
      </c>
      <c r="C30" s="21" t="s">
        <v>32</v>
      </c>
      <c r="D30" s="8">
        <v>16</v>
      </c>
      <c r="E30" s="8">
        <v>1800</v>
      </c>
      <c r="F30" s="8">
        <v>8040</v>
      </c>
      <c r="G30" s="20" t="s">
        <v>33</v>
      </c>
      <c r="H30" s="8">
        <v>1</v>
      </c>
      <c r="I30" s="36">
        <f t="shared" si="0"/>
        <v>1817.6832</v>
      </c>
      <c r="J30" s="20" t="s">
        <v>12</v>
      </c>
      <c r="K30" s="32"/>
      <c r="L30" s="32"/>
      <c r="M30" s="32"/>
      <c r="N30" s="32"/>
      <c r="O30" s="33" t="s">
        <v>785</v>
      </c>
    </row>
    <row r="31" ht="22.5" customHeight="1" spans="1:15">
      <c r="A31" s="20">
        <v>26</v>
      </c>
      <c r="B31" s="20" t="s">
        <v>31</v>
      </c>
      <c r="C31" s="21" t="s">
        <v>32</v>
      </c>
      <c r="D31" s="8">
        <v>16</v>
      </c>
      <c r="E31" s="8">
        <v>1800</v>
      </c>
      <c r="F31" s="8">
        <v>8080</v>
      </c>
      <c r="G31" s="20" t="s">
        <v>33</v>
      </c>
      <c r="H31" s="8">
        <v>1</v>
      </c>
      <c r="I31" s="36">
        <f t="shared" si="0"/>
        <v>1826.7264</v>
      </c>
      <c r="J31" s="20" t="s">
        <v>12</v>
      </c>
      <c r="K31" s="32"/>
      <c r="L31" s="32"/>
      <c r="M31" s="32"/>
      <c r="N31" s="32"/>
      <c r="O31" s="33" t="s">
        <v>786</v>
      </c>
    </row>
    <row r="32" ht="22.5" customHeight="1" spans="1:15">
      <c r="A32" s="20">
        <v>27</v>
      </c>
      <c r="B32" s="20" t="s">
        <v>31</v>
      </c>
      <c r="C32" s="21" t="s">
        <v>32</v>
      </c>
      <c r="D32" s="8">
        <v>16</v>
      </c>
      <c r="E32" s="8">
        <v>1800</v>
      </c>
      <c r="F32" s="8">
        <v>8350</v>
      </c>
      <c r="G32" s="20" t="s">
        <v>33</v>
      </c>
      <c r="H32" s="8">
        <v>1</v>
      </c>
      <c r="I32" s="36">
        <f t="shared" si="0"/>
        <v>1887.768</v>
      </c>
      <c r="J32" s="20" t="s">
        <v>34</v>
      </c>
      <c r="K32" s="32"/>
      <c r="L32" s="32"/>
      <c r="M32" s="32"/>
      <c r="N32" s="32"/>
      <c r="O32" s="33" t="s">
        <v>787</v>
      </c>
    </row>
    <row r="33" ht="22.5" customHeight="1" spans="1:15">
      <c r="A33" s="20">
        <v>28</v>
      </c>
      <c r="B33" s="20" t="s">
        <v>31</v>
      </c>
      <c r="C33" s="21" t="s">
        <v>32</v>
      </c>
      <c r="D33" s="8">
        <v>16</v>
      </c>
      <c r="E33" s="8">
        <v>1800</v>
      </c>
      <c r="F33" s="8">
        <v>9270</v>
      </c>
      <c r="G33" s="20" t="s">
        <v>33</v>
      </c>
      <c r="H33" s="8">
        <v>1</v>
      </c>
      <c r="I33" s="36">
        <f t="shared" si="0"/>
        <v>2095.7616</v>
      </c>
      <c r="J33" s="20" t="s">
        <v>12</v>
      </c>
      <c r="K33" s="32"/>
      <c r="L33" s="32"/>
      <c r="M33" s="32"/>
      <c r="N33" s="32"/>
      <c r="O33" s="33" t="s">
        <v>788</v>
      </c>
    </row>
    <row r="34" ht="22.5" customHeight="1" spans="1:15">
      <c r="A34" s="20">
        <v>29</v>
      </c>
      <c r="B34" s="20" t="s">
        <v>31</v>
      </c>
      <c r="C34" s="21" t="s">
        <v>32</v>
      </c>
      <c r="D34" s="8">
        <v>16</v>
      </c>
      <c r="E34" s="8">
        <v>1800</v>
      </c>
      <c r="F34" s="8">
        <v>9830</v>
      </c>
      <c r="G34" s="20" t="s">
        <v>33</v>
      </c>
      <c r="H34" s="8">
        <v>1</v>
      </c>
      <c r="I34" s="36">
        <f t="shared" si="0"/>
        <v>2222.3664</v>
      </c>
      <c r="J34" s="20" t="s">
        <v>11</v>
      </c>
      <c r="K34" s="32"/>
      <c r="L34" s="32"/>
      <c r="M34" s="32"/>
      <c r="N34" s="32"/>
      <c r="O34" s="33" t="s">
        <v>789</v>
      </c>
    </row>
    <row r="35" ht="22.5" customHeight="1" spans="1:15">
      <c r="A35" s="20">
        <v>30</v>
      </c>
      <c r="B35" s="20" t="s">
        <v>31</v>
      </c>
      <c r="C35" s="21" t="s">
        <v>32</v>
      </c>
      <c r="D35" s="8">
        <v>16</v>
      </c>
      <c r="E35" s="8">
        <v>1800</v>
      </c>
      <c r="F35" s="8">
        <v>10100</v>
      </c>
      <c r="G35" s="20" t="s">
        <v>33</v>
      </c>
      <c r="H35" s="8">
        <v>1</v>
      </c>
      <c r="I35" s="36">
        <f t="shared" si="0"/>
        <v>2283.408</v>
      </c>
      <c r="J35" s="20" t="s">
        <v>11</v>
      </c>
      <c r="K35" s="32"/>
      <c r="L35" s="32"/>
      <c r="M35" s="32"/>
      <c r="N35" s="32"/>
      <c r="O35" s="33" t="s">
        <v>790</v>
      </c>
    </row>
    <row r="36" ht="22.5" customHeight="1" spans="1:15">
      <c r="A36" s="20">
        <v>31</v>
      </c>
      <c r="B36" s="20" t="s">
        <v>31</v>
      </c>
      <c r="C36" s="21" t="s">
        <v>32</v>
      </c>
      <c r="D36" s="8">
        <v>16</v>
      </c>
      <c r="E36" s="8">
        <v>1800</v>
      </c>
      <c r="F36" s="8">
        <v>10110</v>
      </c>
      <c r="G36" s="20" t="s">
        <v>33</v>
      </c>
      <c r="H36" s="8">
        <v>1</v>
      </c>
      <c r="I36" s="36">
        <f t="shared" si="0"/>
        <v>2285.6688</v>
      </c>
      <c r="J36" s="20" t="s">
        <v>34</v>
      </c>
      <c r="K36" s="32"/>
      <c r="L36" s="32"/>
      <c r="M36" s="32"/>
      <c r="N36" s="32"/>
      <c r="O36" s="33" t="s">
        <v>791</v>
      </c>
    </row>
    <row r="37" ht="22.5" customHeight="1" spans="1:15">
      <c r="A37" s="20">
        <v>32</v>
      </c>
      <c r="B37" s="20" t="s">
        <v>31</v>
      </c>
      <c r="C37" s="21" t="s">
        <v>32</v>
      </c>
      <c r="D37" s="8">
        <v>16</v>
      </c>
      <c r="E37" s="8">
        <v>1800</v>
      </c>
      <c r="F37" s="8">
        <v>10230</v>
      </c>
      <c r="G37" s="20" t="s">
        <v>33</v>
      </c>
      <c r="H37" s="8">
        <v>1</v>
      </c>
      <c r="I37" s="36">
        <f t="shared" si="0"/>
        <v>2312.7984</v>
      </c>
      <c r="J37" s="20" t="s">
        <v>34</v>
      </c>
      <c r="K37" s="32"/>
      <c r="L37" s="32"/>
      <c r="M37" s="32"/>
      <c r="N37" s="32"/>
      <c r="O37" s="33" t="s">
        <v>792</v>
      </c>
    </row>
    <row r="38" ht="22.5" customHeight="1" spans="1:15">
      <c r="A38" s="20">
        <v>33</v>
      </c>
      <c r="B38" s="20" t="s">
        <v>31</v>
      </c>
      <c r="C38" s="21" t="s">
        <v>32</v>
      </c>
      <c r="D38" s="8">
        <v>16</v>
      </c>
      <c r="E38" s="8">
        <v>1800</v>
      </c>
      <c r="F38" s="8">
        <v>10270</v>
      </c>
      <c r="G38" s="20" t="s">
        <v>33</v>
      </c>
      <c r="H38" s="8">
        <v>1</v>
      </c>
      <c r="I38" s="36">
        <f t="shared" si="0"/>
        <v>2321.8416</v>
      </c>
      <c r="J38" s="20" t="s">
        <v>11</v>
      </c>
      <c r="K38" s="32"/>
      <c r="L38" s="32"/>
      <c r="M38" s="32"/>
      <c r="N38" s="32"/>
      <c r="O38" s="33" t="s">
        <v>793</v>
      </c>
    </row>
    <row r="39" ht="22.5" customHeight="1" spans="1:15">
      <c r="A39" s="20">
        <v>34</v>
      </c>
      <c r="B39" s="20" t="s">
        <v>31</v>
      </c>
      <c r="C39" s="21" t="s">
        <v>32</v>
      </c>
      <c r="D39" s="8">
        <v>16</v>
      </c>
      <c r="E39" s="8">
        <v>1800</v>
      </c>
      <c r="F39" s="8">
        <v>11330</v>
      </c>
      <c r="G39" s="20" t="s">
        <v>33</v>
      </c>
      <c r="H39" s="8">
        <v>1</v>
      </c>
      <c r="I39" s="36">
        <f t="shared" si="0"/>
        <v>2561.4864</v>
      </c>
      <c r="J39" s="20" t="s">
        <v>12</v>
      </c>
      <c r="K39" s="32"/>
      <c r="L39" s="32"/>
      <c r="M39" s="32"/>
      <c r="N39" s="32"/>
      <c r="O39" s="33" t="s">
        <v>794</v>
      </c>
    </row>
    <row r="40" ht="22.5" customHeight="1" spans="1:15">
      <c r="A40" s="20">
        <v>35</v>
      </c>
      <c r="B40" s="20" t="s">
        <v>31</v>
      </c>
      <c r="C40" s="21" t="s">
        <v>32</v>
      </c>
      <c r="D40" s="8">
        <v>16</v>
      </c>
      <c r="E40" s="8">
        <v>1800</v>
      </c>
      <c r="F40" s="8">
        <v>11960</v>
      </c>
      <c r="G40" s="20" t="s">
        <v>33</v>
      </c>
      <c r="H40" s="8">
        <v>1</v>
      </c>
      <c r="I40" s="36">
        <f t="shared" si="0"/>
        <v>2703.9168</v>
      </c>
      <c r="J40" s="20" t="s">
        <v>34</v>
      </c>
      <c r="K40" s="32"/>
      <c r="L40" s="32"/>
      <c r="M40" s="32"/>
      <c r="N40" s="32"/>
      <c r="O40" s="33" t="s">
        <v>795</v>
      </c>
    </row>
    <row r="41" ht="22.5" customHeight="1" spans="1:15">
      <c r="A41" s="20">
        <v>36</v>
      </c>
      <c r="B41" s="20" t="s">
        <v>31</v>
      </c>
      <c r="C41" s="21" t="s">
        <v>32</v>
      </c>
      <c r="D41" s="8">
        <v>16</v>
      </c>
      <c r="E41" s="8">
        <v>1800</v>
      </c>
      <c r="F41" s="8">
        <v>11970</v>
      </c>
      <c r="G41" s="20" t="s">
        <v>33</v>
      </c>
      <c r="H41" s="8">
        <v>1</v>
      </c>
      <c r="I41" s="36">
        <f t="shared" si="0"/>
        <v>2706.1776</v>
      </c>
      <c r="J41" s="20" t="s">
        <v>34</v>
      </c>
      <c r="K41" s="32"/>
      <c r="L41" s="32"/>
      <c r="M41" s="32"/>
      <c r="N41" s="32"/>
      <c r="O41" s="33" t="s">
        <v>796</v>
      </c>
    </row>
    <row r="42" ht="22.5" customHeight="1" spans="1:15">
      <c r="A42" s="20">
        <v>37</v>
      </c>
      <c r="B42" s="20" t="s">
        <v>31</v>
      </c>
      <c r="C42" s="21" t="s">
        <v>32</v>
      </c>
      <c r="D42" s="8">
        <v>16</v>
      </c>
      <c r="E42" s="8">
        <v>1800</v>
      </c>
      <c r="F42" s="8">
        <v>12190</v>
      </c>
      <c r="G42" s="20" t="s">
        <v>33</v>
      </c>
      <c r="H42" s="8">
        <v>1</v>
      </c>
      <c r="I42" s="36">
        <f t="shared" si="0"/>
        <v>2755.9152</v>
      </c>
      <c r="J42" s="20" t="s">
        <v>34</v>
      </c>
      <c r="K42" s="32"/>
      <c r="L42" s="32"/>
      <c r="M42" s="32"/>
      <c r="N42" s="32"/>
      <c r="O42" s="33" t="s">
        <v>797</v>
      </c>
    </row>
    <row r="43" ht="22.5" customHeight="1" spans="1:15">
      <c r="A43" s="20">
        <v>38</v>
      </c>
      <c r="B43" s="20" t="s">
        <v>31</v>
      </c>
      <c r="C43" s="21" t="s">
        <v>32</v>
      </c>
      <c r="D43" s="8">
        <v>16</v>
      </c>
      <c r="E43" s="8">
        <v>1800</v>
      </c>
      <c r="F43" s="8">
        <v>12210</v>
      </c>
      <c r="G43" s="20" t="s">
        <v>33</v>
      </c>
      <c r="H43" s="8">
        <v>1</v>
      </c>
      <c r="I43" s="36">
        <f t="shared" si="0"/>
        <v>2760.4368</v>
      </c>
      <c r="J43" s="20" t="s">
        <v>34</v>
      </c>
      <c r="K43" s="32"/>
      <c r="L43" s="32"/>
      <c r="M43" s="32"/>
      <c r="N43" s="32"/>
      <c r="O43" s="33" t="s">
        <v>798</v>
      </c>
    </row>
    <row r="44" ht="22.5" customHeight="1" spans="1:15">
      <c r="A44" s="20">
        <v>39</v>
      </c>
      <c r="B44" s="20" t="s">
        <v>31</v>
      </c>
      <c r="C44" s="21" t="s">
        <v>32</v>
      </c>
      <c r="D44" s="8">
        <v>16</v>
      </c>
      <c r="E44" s="8">
        <v>1800</v>
      </c>
      <c r="F44" s="8">
        <v>12360</v>
      </c>
      <c r="G44" s="20" t="s">
        <v>33</v>
      </c>
      <c r="H44" s="8">
        <v>1</v>
      </c>
      <c r="I44" s="36">
        <f t="shared" si="0"/>
        <v>2794.3488</v>
      </c>
      <c r="J44" s="20" t="s">
        <v>34</v>
      </c>
      <c r="K44" s="32"/>
      <c r="L44" s="32"/>
      <c r="M44" s="32"/>
      <c r="N44" s="32"/>
      <c r="O44" s="33" t="s">
        <v>799</v>
      </c>
    </row>
    <row r="45" ht="22.5" customHeight="1" spans="1:15">
      <c r="A45" s="20">
        <v>40</v>
      </c>
      <c r="B45" s="20" t="s">
        <v>31</v>
      </c>
      <c r="C45" s="21" t="s">
        <v>32</v>
      </c>
      <c r="D45" s="8">
        <v>16</v>
      </c>
      <c r="E45" s="8">
        <v>1800</v>
      </c>
      <c r="F45" s="8">
        <v>12490</v>
      </c>
      <c r="G45" s="20" t="s">
        <v>33</v>
      </c>
      <c r="H45" s="8">
        <v>1</v>
      </c>
      <c r="I45" s="36">
        <f t="shared" si="0"/>
        <v>2823.7392</v>
      </c>
      <c r="J45" s="20" t="s">
        <v>11</v>
      </c>
      <c r="K45" s="32"/>
      <c r="L45" s="32"/>
      <c r="M45" s="32"/>
      <c r="N45" s="32"/>
      <c r="O45" s="33" t="s">
        <v>800</v>
      </c>
    </row>
    <row r="46" ht="22.5" customHeight="1" spans="1:15">
      <c r="A46" s="20">
        <v>41</v>
      </c>
      <c r="B46" s="20" t="s">
        <v>31</v>
      </c>
      <c r="C46" s="21" t="s">
        <v>32</v>
      </c>
      <c r="D46" s="8">
        <v>16</v>
      </c>
      <c r="E46" s="8">
        <v>1800</v>
      </c>
      <c r="F46" s="8">
        <v>12590</v>
      </c>
      <c r="G46" s="20" t="s">
        <v>33</v>
      </c>
      <c r="H46" s="8">
        <v>1</v>
      </c>
      <c r="I46" s="36">
        <f t="shared" si="0"/>
        <v>2846.3472</v>
      </c>
      <c r="J46" s="20" t="s">
        <v>34</v>
      </c>
      <c r="K46" s="32"/>
      <c r="L46" s="32"/>
      <c r="M46" s="32"/>
      <c r="N46" s="32"/>
      <c r="O46" s="33" t="s">
        <v>801</v>
      </c>
    </row>
    <row r="47" ht="22.5" customHeight="1" spans="1:15">
      <c r="A47" s="20">
        <v>42</v>
      </c>
      <c r="B47" s="20" t="s">
        <v>31</v>
      </c>
      <c r="C47" s="21" t="s">
        <v>32</v>
      </c>
      <c r="D47" s="8">
        <v>16</v>
      </c>
      <c r="E47" s="8">
        <v>1800</v>
      </c>
      <c r="F47" s="8">
        <v>12680</v>
      </c>
      <c r="G47" s="20" t="s">
        <v>33</v>
      </c>
      <c r="H47" s="8">
        <v>1</v>
      </c>
      <c r="I47" s="36">
        <f t="shared" si="0"/>
        <v>2866.6944</v>
      </c>
      <c r="J47" s="20" t="s">
        <v>12</v>
      </c>
      <c r="K47" s="32"/>
      <c r="L47" s="32"/>
      <c r="M47" s="32"/>
      <c r="N47" s="32"/>
      <c r="O47" s="33" t="s">
        <v>802</v>
      </c>
    </row>
    <row r="48" ht="22.5" customHeight="1" spans="1:15">
      <c r="A48" s="20">
        <v>43</v>
      </c>
      <c r="B48" s="20" t="s">
        <v>31</v>
      </c>
      <c r="C48" s="21" t="s">
        <v>32</v>
      </c>
      <c r="D48" s="8">
        <v>16</v>
      </c>
      <c r="E48" s="8">
        <v>2000</v>
      </c>
      <c r="F48" s="8">
        <v>10380</v>
      </c>
      <c r="G48" s="20" t="s">
        <v>33</v>
      </c>
      <c r="H48" s="8">
        <v>1</v>
      </c>
      <c r="I48" s="36">
        <f t="shared" si="0"/>
        <v>2607.456</v>
      </c>
      <c r="J48" s="20" t="s">
        <v>11</v>
      </c>
      <c r="K48" s="32"/>
      <c r="L48" s="32"/>
      <c r="M48" s="32"/>
      <c r="N48" s="32"/>
      <c r="O48" s="33" t="s">
        <v>803</v>
      </c>
    </row>
    <row r="49" ht="22.5" customHeight="1" spans="1:15">
      <c r="A49" s="20">
        <v>44</v>
      </c>
      <c r="B49" s="20" t="s">
        <v>31</v>
      </c>
      <c r="C49" s="21" t="s">
        <v>32</v>
      </c>
      <c r="D49" s="8">
        <v>16</v>
      </c>
      <c r="E49" s="8">
        <v>2000</v>
      </c>
      <c r="F49" s="8">
        <v>11120</v>
      </c>
      <c r="G49" s="20" t="s">
        <v>33</v>
      </c>
      <c r="H49" s="8">
        <v>1</v>
      </c>
      <c r="I49" s="36">
        <f t="shared" si="0"/>
        <v>2793.344</v>
      </c>
      <c r="J49" s="20" t="s">
        <v>12</v>
      </c>
      <c r="K49" s="32"/>
      <c r="L49" s="32"/>
      <c r="M49" s="32"/>
      <c r="N49" s="32"/>
      <c r="O49" s="33" t="s">
        <v>804</v>
      </c>
    </row>
    <row r="50" ht="22.5" customHeight="1" spans="1:15">
      <c r="A50" s="20">
        <v>45</v>
      </c>
      <c r="B50" s="20" t="s">
        <v>31</v>
      </c>
      <c r="C50" s="21" t="s">
        <v>32</v>
      </c>
      <c r="D50" s="8">
        <v>16</v>
      </c>
      <c r="E50" s="8">
        <v>2000</v>
      </c>
      <c r="F50" s="8">
        <v>11410</v>
      </c>
      <c r="G50" s="20" t="s">
        <v>33</v>
      </c>
      <c r="H50" s="8">
        <v>1</v>
      </c>
      <c r="I50" s="36">
        <f t="shared" si="0"/>
        <v>2866.192</v>
      </c>
      <c r="J50" s="20" t="s">
        <v>11</v>
      </c>
      <c r="K50" s="32"/>
      <c r="L50" s="32"/>
      <c r="M50" s="32">
        <f>SUM(I9:I50)</f>
        <v>97128.8664</v>
      </c>
      <c r="N50" s="32">
        <f>[10]Sheet2!$Q$43</f>
        <v>97128.8664</v>
      </c>
      <c r="O50" s="33" t="s">
        <v>805</v>
      </c>
    </row>
    <row r="51" ht="16.5" spans="1:12">
      <c r="A51" s="5" t="s">
        <v>40</v>
      </c>
      <c r="B51" s="5"/>
      <c r="C51" s="5"/>
      <c r="D51" s="5"/>
      <c r="E51" s="5"/>
      <c r="F51" s="5"/>
      <c r="G51" s="5"/>
      <c r="H51" s="5"/>
      <c r="I51" s="34">
        <f>SUM(I6:I50)</f>
        <v>104257.4514</v>
      </c>
      <c r="J51" s="13"/>
      <c r="K51">
        <f>[6]D桥估料表!$G$126</f>
        <v>149990.6001056</v>
      </c>
      <c r="L51">
        <v>107144.25436</v>
      </c>
    </row>
    <row r="52" ht="16.5" spans="1:10">
      <c r="A52" s="22" t="s">
        <v>41</v>
      </c>
      <c r="B52" s="22"/>
      <c r="C52" s="22"/>
      <c r="D52" s="22"/>
      <c r="E52" s="22"/>
      <c r="F52" s="22"/>
      <c r="G52" s="22"/>
      <c r="H52" s="22"/>
      <c r="I52" s="22"/>
      <c r="J52" s="22"/>
    </row>
    <row r="53" ht="16.5" spans="1:10">
      <c r="A53" s="22" t="s">
        <v>401</v>
      </c>
      <c r="B53" s="22"/>
      <c r="C53" s="22"/>
      <c r="D53" s="22"/>
      <c r="E53" s="22"/>
      <c r="F53" s="22"/>
      <c r="G53" s="22"/>
      <c r="H53" s="22"/>
      <c r="I53" s="22"/>
      <c r="J53" s="22"/>
    </row>
    <row r="54" ht="16.5" spans="1:10">
      <c r="A54" s="16" t="s">
        <v>457</v>
      </c>
      <c r="B54" s="17"/>
      <c r="C54" s="17"/>
      <c r="D54" s="17"/>
      <c r="E54" s="17"/>
      <c r="F54" s="17"/>
      <c r="G54" s="17"/>
      <c r="H54" s="17"/>
      <c r="I54" s="17"/>
      <c r="J54" s="17"/>
    </row>
  </sheetData>
  <autoFilter ref="A5:J54">
    <extLst/>
  </autoFilter>
  <mergeCells count="7">
    <mergeCell ref="A1:J1"/>
    <mergeCell ref="A2:J2"/>
    <mergeCell ref="A3:F3"/>
    <mergeCell ref="A51:H51"/>
    <mergeCell ref="A52:J52"/>
    <mergeCell ref="A53:J53"/>
    <mergeCell ref="A54:J54"/>
  </mergeCells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4"/>
  <dimension ref="A1:AA52"/>
  <sheetViews>
    <sheetView workbookViewId="0">
      <selection activeCell="AA1" sqref="O$1:AA$1048576"/>
    </sheetView>
  </sheetViews>
  <sheetFormatPr defaultColWidth="9" defaultRowHeight="13.5"/>
  <cols>
    <col min="1" max="1" width="6.75" customWidth="1"/>
    <col min="2" max="2" width="8.675" customWidth="1"/>
    <col min="3" max="3" width="9.25" customWidth="1"/>
    <col min="4" max="4" width="8.375" customWidth="1"/>
    <col min="5" max="5" width="9.75" customWidth="1"/>
    <col min="6" max="6" width="9.875" customWidth="1"/>
    <col min="7" max="7" width="7.875" customWidth="1"/>
    <col min="8" max="8" width="6.625" customWidth="1"/>
    <col min="9" max="9" width="10.875" customWidth="1"/>
    <col min="10" max="10" width="10.0083333333333" customWidth="1"/>
    <col min="11" max="12" width="12.625" hidden="1" customWidth="1"/>
    <col min="13" max="13" width="11.175" hidden="1" customWidth="1"/>
    <col min="14" max="14" width="6.24166666666667" hidden="1" customWidth="1"/>
    <col min="15" max="27" width="9" hidden="1" customWidth="1"/>
  </cols>
  <sheetData>
    <row r="1" ht="28.5" customHeight="1" spans="1:14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  <c r="K1" s="24"/>
      <c r="L1" s="24"/>
      <c r="M1" s="24"/>
      <c r="N1" s="24"/>
    </row>
    <row r="2" ht="28.5" customHeight="1" spans="1:14">
      <c r="A2" s="15" t="s">
        <v>20</v>
      </c>
      <c r="B2" s="15"/>
      <c r="C2" s="15"/>
      <c r="D2" s="15"/>
      <c r="E2" s="15"/>
      <c r="F2" s="15"/>
      <c r="G2" s="15"/>
      <c r="H2" s="15"/>
      <c r="I2" s="15"/>
      <c r="J2" s="15"/>
      <c r="K2" s="24"/>
      <c r="L2" s="24"/>
      <c r="M2" s="24"/>
      <c r="N2" s="24"/>
    </row>
    <row r="3" ht="22.5" customHeight="1" spans="1:14">
      <c r="A3" s="16" t="s">
        <v>21</v>
      </c>
      <c r="B3" s="17"/>
      <c r="C3" s="17"/>
      <c r="D3" s="17"/>
      <c r="E3" s="17"/>
      <c r="F3" s="17"/>
      <c r="G3" s="17"/>
      <c r="H3" s="17"/>
      <c r="I3" s="44"/>
      <c r="J3" s="26"/>
      <c r="K3" s="46"/>
      <c r="L3" s="27"/>
      <c r="M3" s="27"/>
      <c r="N3" s="27"/>
    </row>
    <row r="4" ht="22.5" customHeight="1" spans="1:14">
      <c r="A4" s="18" t="s">
        <v>806</v>
      </c>
      <c r="B4" s="19"/>
      <c r="C4" s="19"/>
      <c r="D4" s="17"/>
      <c r="E4" s="19"/>
      <c r="F4" s="19"/>
      <c r="G4" s="17"/>
      <c r="H4" s="17"/>
      <c r="I4" s="45"/>
      <c r="J4" s="26"/>
      <c r="K4" s="46"/>
      <c r="L4" s="27"/>
      <c r="M4" s="27"/>
      <c r="N4" s="27"/>
    </row>
    <row r="5" ht="22.5" customHeight="1" spans="1:14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4" t="s">
        <v>29</v>
      </c>
      <c r="J5" s="11" t="s">
        <v>30</v>
      </c>
      <c r="K5" s="30"/>
      <c r="L5" s="30"/>
      <c r="M5" s="30"/>
      <c r="N5" s="30"/>
    </row>
    <row r="6" ht="22.5" customHeight="1" spans="1:14">
      <c r="A6" s="5">
        <v>1</v>
      </c>
      <c r="B6" s="5" t="s">
        <v>31</v>
      </c>
      <c r="C6" s="39" t="s">
        <v>32</v>
      </c>
      <c r="D6" s="5">
        <v>12</v>
      </c>
      <c r="E6" s="5">
        <v>1500</v>
      </c>
      <c r="F6" s="5">
        <v>8870</v>
      </c>
      <c r="G6" s="5" t="s">
        <v>33</v>
      </c>
      <c r="H6" s="5">
        <v>1</v>
      </c>
      <c r="I6" s="40">
        <f>H6*F6*E6*D6*7.85/1000000</f>
        <v>1253.331</v>
      </c>
      <c r="J6" s="5" t="s">
        <v>17</v>
      </c>
      <c r="K6" s="37" t="s">
        <v>807</v>
      </c>
      <c r="L6" s="8">
        <v>1</v>
      </c>
      <c r="M6" s="32"/>
      <c r="N6" s="32"/>
    </row>
    <row r="7" ht="22.5" customHeight="1" spans="1:14">
      <c r="A7" s="5">
        <v>2</v>
      </c>
      <c r="B7" s="5" t="s">
        <v>31</v>
      </c>
      <c r="C7" s="39" t="s">
        <v>32</v>
      </c>
      <c r="D7" s="5">
        <v>12</v>
      </c>
      <c r="E7" s="5">
        <v>1500</v>
      </c>
      <c r="F7" s="5">
        <v>10860</v>
      </c>
      <c r="G7" s="5" t="s">
        <v>33</v>
      </c>
      <c r="H7" s="5">
        <v>1</v>
      </c>
      <c r="I7" s="40">
        <f>H7*F7*E7*D7*7.85/1000000</f>
        <v>1534.518</v>
      </c>
      <c r="J7" s="39" t="s">
        <v>234</v>
      </c>
      <c r="K7" s="37" t="s">
        <v>808</v>
      </c>
      <c r="L7" s="8">
        <v>1</v>
      </c>
      <c r="M7" s="32"/>
      <c r="N7" s="32"/>
    </row>
    <row r="8" ht="22.5" customHeight="1" spans="1:14">
      <c r="A8" s="5">
        <v>3</v>
      </c>
      <c r="B8" s="5" t="s">
        <v>31</v>
      </c>
      <c r="C8" s="39" t="s">
        <v>32</v>
      </c>
      <c r="D8" s="5">
        <v>12</v>
      </c>
      <c r="E8" s="5">
        <f>1960+40</f>
        <v>2000</v>
      </c>
      <c r="F8" s="5">
        <v>10020</v>
      </c>
      <c r="G8" s="5" t="s">
        <v>33</v>
      </c>
      <c r="H8" s="5">
        <v>2</v>
      </c>
      <c r="I8" s="40">
        <f>H8*F8*E8*D8*7.85/1000000</f>
        <v>3775.536</v>
      </c>
      <c r="J8" s="5" t="s">
        <v>16</v>
      </c>
      <c r="K8" s="37" t="s">
        <v>809</v>
      </c>
      <c r="L8" s="8">
        <v>1</v>
      </c>
      <c r="M8" s="8" t="s">
        <v>810</v>
      </c>
      <c r="N8" s="8">
        <v>1</v>
      </c>
    </row>
    <row r="9" ht="22.5" customHeight="1" spans="1:27">
      <c r="A9" s="5">
        <v>4</v>
      </c>
      <c r="B9" s="5" t="s">
        <v>31</v>
      </c>
      <c r="C9" s="39" t="s">
        <v>32</v>
      </c>
      <c r="D9" s="8">
        <v>16</v>
      </c>
      <c r="E9" s="8">
        <v>1500</v>
      </c>
      <c r="F9" s="8">
        <v>7440</v>
      </c>
      <c r="G9" s="5" t="s">
        <v>33</v>
      </c>
      <c r="H9" s="8">
        <v>13</v>
      </c>
      <c r="I9" s="40">
        <f t="shared" ref="I9:I48" si="0">H9*F9*E9*D9*7.85/1000000</f>
        <v>18222.048</v>
      </c>
      <c r="J9" s="8" t="s">
        <v>11</v>
      </c>
      <c r="K9" s="32"/>
      <c r="L9" s="32"/>
      <c r="M9" s="32"/>
      <c r="N9" s="32"/>
      <c r="O9" s="33" t="s">
        <v>811</v>
      </c>
      <c r="P9" s="33" t="s">
        <v>812</v>
      </c>
      <c r="Q9" s="33" t="s">
        <v>813</v>
      </c>
      <c r="R9" s="33" t="s">
        <v>814</v>
      </c>
      <c r="S9" s="33" t="s">
        <v>815</v>
      </c>
      <c r="T9" s="33" t="s">
        <v>816</v>
      </c>
      <c r="U9" s="33" t="s">
        <v>817</v>
      </c>
      <c r="V9" s="33" t="s">
        <v>818</v>
      </c>
      <c r="W9" s="33" t="s">
        <v>819</v>
      </c>
      <c r="X9" s="33" t="s">
        <v>820</v>
      </c>
      <c r="Y9" s="33" t="s">
        <v>821</v>
      </c>
      <c r="Z9" s="33" t="s">
        <v>822</v>
      </c>
      <c r="AA9" s="33" t="s">
        <v>823</v>
      </c>
    </row>
    <row r="10" ht="22.5" customHeight="1" spans="1:15">
      <c r="A10" s="5">
        <v>5</v>
      </c>
      <c r="B10" s="5" t="s">
        <v>31</v>
      </c>
      <c r="C10" s="39" t="s">
        <v>32</v>
      </c>
      <c r="D10" s="8">
        <v>16</v>
      </c>
      <c r="E10" s="8">
        <v>1500</v>
      </c>
      <c r="F10" s="8">
        <v>7450</v>
      </c>
      <c r="G10" s="5" t="s">
        <v>33</v>
      </c>
      <c r="H10" s="8">
        <v>1</v>
      </c>
      <c r="I10" s="40">
        <f t="shared" si="0"/>
        <v>1403.58</v>
      </c>
      <c r="J10" s="8" t="s">
        <v>11</v>
      </c>
      <c r="K10" s="32"/>
      <c r="L10" s="32"/>
      <c r="M10" s="32"/>
      <c r="N10" s="32"/>
      <c r="O10" s="33" t="s">
        <v>824</v>
      </c>
    </row>
    <row r="11" ht="22.5" customHeight="1" spans="1:15">
      <c r="A11" s="5">
        <v>6</v>
      </c>
      <c r="B11" s="5" t="s">
        <v>31</v>
      </c>
      <c r="C11" s="39" t="s">
        <v>32</v>
      </c>
      <c r="D11" s="8">
        <v>16</v>
      </c>
      <c r="E11" s="8">
        <v>1500</v>
      </c>
      <c r="F11" s="8">
        <v>7460</v>
      </c>
      <c r="G11" s="5" t="s">
        <v>33</v>
      </c>
      <c r="H11" s="8">
        <v>1</v>
      </c>
      <c r="I11" s="40">
        <f t="shared" si="0"/>
        <v>1405.464</v>
      </c>
      <c r="J11" s="8" t="s">
        <v>11</v>
      </c>
      <c r="K11" s="32"/>
      <c r="L11" s="32"/>
      <c r="M11" s="32"/>
      <c r="N11" s="32"/>
      <c r="O11" s="33" t="s">
        <v>825</v>
      </c>
    </row>
    <row r="12" ht="22.5" customHeight="1" spans="1:15">
      <c r="A12" s="5">
        <v>7</v>
      </c>
      <c r="B12" s="5" t="s">
        <v>31</v>
      </c>
      <c r="C12" s="39" t="s">
        <v>32</v>
      </c>
      <c r="D12" s="8">
        <v>16</v>
      </c>
      <c r="E12" s="8">
        <v>1500</v>
      </c>
      <c r="F12" s="8">
        <v>7470</v>
      </c>
      <c r="G12" s="5" t="s">
        <v>33</v>
      </c>
      <c r="H12" s="8">
        <v>1</v>
      </c>
      <c r="I12" s="40">
        <f t="shared" si="0"/>
        <v>1407.348</v>
      </c>
      <c r="J12" s="8" t="s">
        <v>11</v>
      </c>
      <c r="K12" s="32"/>
      <c r="L12" s="32"/>
      <c r="M12" s="32"/>
      <c r="N12" s="32"/>
      <c r="O12" s="33" t="s">
        <v>826</v>
      </c>
    </row>
    <row r="13" ht="22.5" customHeight="1" spans="1:17">
      <c r="A13" s="5">
        <v>8</v>
      </c>
      <c r="B13" s="5" t="s">
        <v>31</v>
      </c>
      <c r="C13" s="39" t="s">
        <v>32</v>
      </c>
      <c r="D13" s="8">
        <v>16</v>
      </c>
      <c r="E13" s="8">
        <v>1500</v>
      </c>
      <c r="F13" s="8">
        <v>7770</v>
      </c>
      <c r="G13" s="5" t="s">
        <v>33</v>
      </c>
      <c r="H13" s="8">
        <v>3</v>
      </c>
      <c r="I13" s="40">
        <f t="shared" si="0"/>
        <v>4391.604</v>
      </c>
      <c r="J13" s="8" t="s">
        <v>11</v>
      </c>
      <c r="K13" s="32"/>
      <c r="L13" s="32"/>
      <c r="M13" s="32"/>
      <c r="N13" s="32"/>
      <c r="O13" s="33" t="s">
        <v>827</v>
      </c>
      <c r="P13" s="33" t="s">
        <v>828</v>
      </c>
      <c r="Q13" s="33" t="s">
        <v>829</v>
      </c>
    </row>
    <row r="14" ht="22.5" customHeight="1" spans="1:19">
      <c r="A14" s="5">
        <v>9</v>
      </c>
      <c r="B14" s="5" t="s">
        <v>31</v>
      </c>
      <c r="C14" s="39" t="s">
        <v>32</v>
      </c>
      <c r="D14" s="8">
        <v>16</v>
      </c>
      <c r="E14" s="8">
        <v>1500</v>
      </c>
      <c r="F14" s="8">
        <v>8040</v>
      </c>
      <c r="G14" s="5" t="s">
        <v>33</v>
      </c>
      <c r="H14" s="8">
        <v>5</v>
      </c>
      <c r="I14" s="40">
        <f t="shared" si="0"/>
        <v>7573.68</v>
      </c>
      <c r="J14" s="8" t="s">
        <v>34</v>
      </c>
      <c r="K14" s="32"/>
      <c r="L14" s="32"/>
      <c r="M14" s="32"/>
      <c r="N14" s="32"/>
      <c r="O14" s="33" t="s">
        <v>830</v>
      </c>
      <c r="P14" s="33" t="s">
        <v>831</v>
      </c>
      <c r="Q14" s="33" t="s">
        <v>832</v>
      </c>
      <c r="R14" s="33" t="s">
        <v>833</v>
      </c>
      <c r="S14" s="33" t="s">
        <v>834</v>
      </c>
    </row>
    <row r="15" ht="22.5" customHeight="1" spans="1:15">
      <c r="A15" s="5">
        <v>10</v>
      </c>
      <c r="B15" s="5" t="s">
        <v>31</v>
      </c>
      <c r="C15" s="39" t="s">
        <v>32</v>
      </c>
      <c r="D15" s="8">
        <v>16</v>
      </c>
      <c r="E15" s="8">
        <v>1500</v>
      </c>
      <c r="F15" s="8">
        <v>8070</v>
      </c>
      <c r="G15" s="5" t="s">
        <v>33</v>
      </c>
      <c r="H15" s="8">
        <v>1</v>
      </c>
      <c r="I15" s="40">
        <f t="shared" si="0"/>
        <v>1520.388</v>
      </c>
      <c r="J15" s="8" t="s">
        <v>34</v>
      </c>
      <c r="K15" s="32"/>
      <c r="L15" s="32"/>
      <c r="M15" s="32"/>
      <c r="N15" s="32"/>
      <c r="O15" s="33" t="s">
        <v>835</v>
      </c>
    </row>
    <row r="16" ht="22.5" customHeight="1" spans="1:15">
      <c r="A16" s="5">
        <v>11</v>
      </c>
      <c r="B16" s="5" t="s">
        <v>31</v>
      </c>
      <c r="C16" s="39" t="s">
        <v>32</v>
      </c>
      <c r="D16" s="8">
        <v>16</v>
      </c>
      <c r="E16" s="8">
        <v>1500</v>
      </c>
      <c r="F16" s="8">
        <v>8110</v>
      </c>
      <c r="G16" s="5" t="s">
        <v>33</v>
      </c>
      <c r="H16" s="8">
        <v>1</v>
      </c>
      <c r="I16" s="40">
        <f t="shared" si="0"/>
        <v>1527.924</v>
      </c>
      <c r="J16" s="8" t="s">
        <v>34</v>
      </c>
      <c r="K16" s="32"/>
      <c r="L16" s="32"/>
      <c r="M16" s="32"/>
      <c r="N16" s="32"/>
      <c r="O16" s="33" t="s">
        <v>836</v>
      </c>
    </row>
    <row r="17" ht="22.5" customHeight="1" spans="1:15">
      <c r="A17" s="5">
        <v>12</v>
      </c>
      <c r="B17" s="5" t="s">
        <v>31</v>
      </c>
      <c r="C17" s="39" t="s">
        <v>32</v>
      </c>
      <c r="D17" s="8">
        <v>16</v>
      </c>
      <c r="E17" s="8">
        <v>1500</v>
      </c>
      <c r="F17" s="8">
        <v>10030</v>
      </c>
      <c r="G17" s="5" t="s">
        <v>33</v>
      </c>
      <c r="H17" s="8">
        <v>1</v>
      </c>
      <c r="I17" s="40">
        <f t="shared" si="0"/>
        <v>1889.652</v>
      </c>
      <c r="J17" s="8" t="s">
        <v>34</v>
      </c>
      <c r="K17" s="32"/>
      <c r="L17" s="32"/>
      <c r="M17" s="32"/>
      <c r="N17" s="32"/>
      <c r="O17" s="33" t="s">
        <v>837</v>
      </c>
    </row>
    <row r="18" ht="22.5" customHeight="1" spans="1:15">
      <c r="A18" s="5">
        <v>13</v>
      </c>
      <c r="B18" s="5" t="s">
        <v>31</v>
      </c>
      <c r="C18" s="39" t="s">
        <v>32</v>
      </c>
      <c r="D18" s="8">
        <v>16</v>
      </c>
      <c r="E18" s="8">
        <v>1500</v>
      </c>
      <c r="F18" s="8">
        <v>10050</v>
      </c>
      <c r="G18" s="5" t="s">
        <v>33</v>
      </c>
      <c r="H18" s="8">
        <v>1</v>
      </c>
      <c r="I18" s="40">
        <f t="shared" si="0"/>
        <v>1893.42</v>
      </c>
      <c r="J18" s="8" t="s">
        <v>34</v>
      </c>
      <c r="K18" s="32"/>
      <c r="L18" s="32"/>
      <c r="M18" s="32"/>
      <c r="N18" s="32"/>
      <c r="O18" s="33" t="s">
        <v>838</v>
      </c>
    </row>
    <row r="19" ht="22.5" customHeight="1" spans="1:15">
      <c r="A19" s="5">
        <v>14</v>
      </c>
      <c r="B19" s="5" t="s">
        <v>31</v>
      </c>
      <c r="C19" s="39" t="s">
        <v>32</v>
      </c>
      <c r="D19" s="8">
        <v>16</v>
      </c>
      <c r="E19" s="8">
        <v>1800</v>
      </c>
      <c r="F19" s="8">
        <v>7380</v>
      </c>
      <c r="G19" s="5" t="s">
        <v>33</v>
      </c>
      <c r="H19" s="8">
        <v>1</v>
      </c>
      <c r="I19" s="40">
        <f t="shared" si="0"/>
        <v>1668.4704</v>
      </c>
      <c r="J19" s="8" t="s">
        <v>11</v>
      </c>
      <c r="K19" s="32"/>
      <c r="L19" s="32"/>
      <c r="M19" s="32"/>
      <c r="N19" s="32"/>
      <c r="O19" s="33" t="s">
        <v>839</v>
      </c>
    </row>
    <row r="20" ht="22.5" customHeight="1" spans="1:15">
      <c r="A20" s="5">
        <v>15</v>
      </c>
      <c r="B20" s="5" t="s">
        <v>31</v>
      </c>
      <c r="C20" s="39" t="s">
        <v>32</v>
      </c>
      <c r="D20" s="8">
        <v>16</v>
      </c>
      <c r="E20" s="8">
        <v>1800</v>
      </c>
      <c r="F20" s="8">
        <v>7400</v>
      </c>
      <c r="G20" s="5" t="s">
        <v>33</v>
      </c>
      <c r="H20" s="8">
        <v>1</v>
      </c>
      <c r="I20" s="40">
        <f t="shared" si="0"/>
        <v>1672.992</v>
      </c>
      <c r="J20" s="8" t="s">
        <v>11</v>
      </c>
      <c r="K20" s="32"/>
      <c r="L20" s="32"/>
      <c r="M20" s="32"/>
      <c r="N20" s="32"/>
      <c r="O20" s="33" t="s">
        <v>840</v>
      </c>
    </row>
    <row r="21" ht="22.5" customHeight="1" spans="1:15">
      <c r="A21" s="5">
        <v>16</v>
      </c>
      <c r="B21" s="5" t="s">
        <v>31</v>
      </c>
      <c r="C21" s="39" t="s">
        <v>32</v>
      </c>
      <c r="D21" s="8">
        <v>16</v>
      </c>
      <c r="E21" s="8">
        <v>1800</v>
      </c>
      <c r="F21" s="8">
        <v>7420</v>
      </c>
      <c r="G21" s="5" t="s">
        <v>33</v>
      </c>
      <c r="H21" s="8">
        <v>1</v>
      </c>
      <c r="I21" s="40">
        <f t="shared" si="0"/>
        <v>1677.5136</v>
      </c>
      <c r="J21" s="8" t="s">
        <v>11</v>
      </c>
      <c r="K21" s="32"/>
      <c r="L21" s="32"/>
      <c r="M21" s="32"/>
      <c r="N21" s="32"/>
      <c r="O21" s="33" t="s">
        <v>841</v>
      </c>
    </row>
    <row r="22" ht="22.5" customHeight="1" spans="1:15">
      <c r="A22" s="5">
        <v>17</v>
      </c>
      <c r="B22" s="5" t="s">
        <v>31</v>
      </c>
      <c r="C22" s="39" t="s">
        <v>32</v>
      </c>
      <c r="D22" s="8">
        <v>16</v>
      </c>
      <c r="E22" s="8">
        <v>1800</v>
      </c>
      <c r="F22" s="8">
        <v>7490</v>
      </c>
      <c r="G22" s="5" t="s">
        <v>33</v>
      </c>
      <c r="H22" s="8">
        <v>1</v>
      </c>
      <c r="I22" s="40">
        <f t="shared" si="0"/>
        <v>1693.3392</v>
      </c>
      <c r="J22" s="8" t="s">
        <v>11</v>
      </c>
      <c r="K22" s="32"/>
      <c r="L22" s="32"/>
      <c r="M22" s="32"/>
      <c r="N22" s="32"/>
      <c r="O22" s="33" t="s">
        <v>842</v>
      </c>
    </row>
    <row r="23" ht="22.5" customHeight="1" spans="1:15">
      <c r="A23" s="5">
        <v>18</v>
      </c>
      <c r="B23" s="5" t="s">
        <v>31</v>
      </c>
      <c r="C23" s="39" t="s">
        <v>32</v>
      </c>
      <c r="D23" s="8">
        <v>16</v>
      </c>
      <c r="E23" s="8">
        <v>1800</v>
      </c>
      <c r="F23" s="8">
        <v>7560</v>
      </c>
      <c r="G23" s="5" t="s">
        <v>33</v>
      </c>
      <c r="H23" s="8">
        <v>1</v>
      </c>
      <c r="I23" s="40">
        <f t="shared" si="0"/>
        <v>1709.1648</v>
      </c>
      <c r="J23" s="8" t="s">
        <v>11</v>
      </c>
      <c r="K23" s="32"/>
      <c r="L23" s="32"/>
      <c r="M23" s="32"/>
      <c r="N23" s="32"/>
      <c r="O23" s="33" t="s">
        <v>843</v>
      </c>
    </row>
    <row r="24" ht="22.5" customHeight="1" spans="1:18">
      <c r="A24" s="5">
        <v>19</v>
      </c>
      <c r="B24" s="5" t="s">
        <v>31</v>
      </c>
      <c r="C24" s="39" t="s">
        <v>32</v>
      </c>
      <c r="D24" s="8">
        <v>16</v>
      </c>
      <c r="E24" s="8">
        <v>1800</v>
      </c>
      <c r="F24" s="8">
        <v>7640</v>
      </c>
      <c r="G24" s="5" t="s">
        <v>33</v>
      </c>
      <c r="H24" s="8">
        <v>4</v>
      </c>
      <c r="I24" s="40">
        <f t="shared" si="0"/>
        <v>6909.0048</v>
      </c>
      <c r="J24" s="8" t="s">
        <v>12</v>
      </c>
      <c r="K24" s="32"/>
      <c r="L24" s="32"/>
      <c r="M24" s="32"/>
      <c r="N24" s="32"/>
      <c r="O24" s="33" t="s">
        <v>844</v>
      </c>
      <c r="P24" s="33" t="s">
        <v>845</v>
      </c>
      <c r="Q24" s="33" t="s">
        <v>846</v>
      </c>
      <c r="R24" s="33" t="s">
        <v>847</v>
      </c>
    </row>
    <row r="25" ht="22.5" customHeight="1" spans="1:15">
      <c r="A25" s="5">
        <v>20</v>
      </c>
      <c r="B25" s="5" t="s">
        <v>31</v>
      </c>
      <c r="C25" s="39" t="s">
        <v>32</v>
      </c>
      <c r="D25" s="8">
        <v>16</v>
      </c>
      <c r="E25" s="8">
        <v>1800</v>
      </c>
      <c r="F25" s="8">
        <v>7740</v>
      </c>
      <c r="G25" s="5" t="s">
        <v>33</v>
      </c>
      <c r="H25" s="8">
        <v>1</v>
      </c>
      <c r="I25" s="40">
        <f t="shared" si="0"/>
        <v>1749.8592</v>
      </c>
      <c r="J25" s="8" t="s">
        <v>12</v>
      </c>
      <c r="K25" s="32"/>
      <c r="L25" s="32"/>
      <c r="M25" s="32"/>
      <c r="N25" s="32"/>
      <c r="O25" s="33" t="s">
        <v>848</v>
      </c>
    </row>
    <row r="26" ht="22.5" customHeight="1" spans="1:15">
      <c r="A26" s="5">
        <v>21</v>
      </c>
      <c r="B26" s="5" t="s">
        <v>31</v>
      </c>
      <c r="C26" s="39" t="s">
        <v>32</v>
      </c>
      <c r="D26" s="8">
        <v>16</v>
      </c>
      <c r="E26" s="8">
        <v>1800</v>
      </c>
      <c r="F26" s="8">
        <v>7790</v>
      </c>
      <c r="G26" s="5" t="s">
        <v>33</v>
      </c>
      <c r="H26" s="8">
        <v>1</v>
      </c>
      <c r="I26" s="40">
        <f t="shared" si="0"/>
        <v>1761.1632</v>
      </c>
      <c r="J26" s="8" t="s">
        <v>11</v>
      </c>
      <c r="K26" s="32"/>
      <c r="L26" s="32"/>
      <c r="M26" s="32"/>
      <c r="N26" s="32"/>
      <c r="O26" s="33" t="s">
        <v>849</v>
      </c>
    </row>
    <row r="27" ht="22.5" customHeight="1" spans="1:15">
      <c r="A27" s="5">
        <v>22</v>
      </c>
      <c r="B27" s="5" t="s">
        <v>31</v>
      </c>
      <c r="C27" s="39" t="s">
        <v>32</v>
      </c>
      <c r="D27" s="8">
        <v>16</v>
      </c>
      <c r="E27" s="8">
        <v>1800</v>
      </c>
      <c r="F27" s="8">
        <v>7870</v>
      </c>
      <c r="G27" s="5" t="s">
        <v>33</v>
      </c>
      <c r="H27" s="8">
        <v>1</v>
      </c>
      <c r="I27" s="40">
        <f t="shared" si="0"/>
        <v>1779.2496</v>
      </c>
      <c r="J27" s="8" t="s">
        <v>12</v>
      </c>
      <c r="K27" s="32"/>
      <c r="L27" s="32"/>
      <c r="M27" s="32"/>
      <c r="N27" s="32"/>
      <c r="O27" s="33" t="s">
        <v>850</v>
      </c>
    </row>
    <row r="28" ht="22.5" customHeight="1" spans="1:15">
      <c r="A28" s="5">
        <v>23</v>
      </c>
      <c r="B28" s="5" t="s">
        <v>31</v>
      </c>
      <c r="C28" s="39" t="s">
        <v>32</v>
      </c>
      <c r="D28" s="8">
        <v>16</v>
      </c>
      <c r="E28" s="8">
        <v>1800</v>
      </c>
      <c r="F28" s="8">
        <v>8030</v>
      </c>
      <c r="G28" s="5" t="s">
        <v>33</v>
      </c>
      <c r="H28" s="8">
        <v>1</v>
      </c>
      <c r="I28" s="40">
        <f t="shared" si="0"/>
        <v>1815.4224</v>
      </c>
      <c r="J28" s="8" t="s">
        <v>12</v>
      </c>
      <c r="K28" s="32"/>
      <c r="L28" s="32"/>
      <c r="M28" s="32"/>
      <c r="N28" s="32"/>
      <c r="O28" s="33" t="s">
        <v>851</v>
      </c>
    </row>
    <row r="29" ht="22.5" customHeight="1" spans="1:16">
      <c r="A29" s="5">
        <v>24</v>
      </c>
      <c r="B29" s="5" t="s">
        <v>31</v>
      </c>
      <c r="C29" s="39" t="s">
        <v>32</v>
      </c>
      <c r="D29" s="8">
        <v>16</v>
      </c>
      <c r="E29" s="8">
        <v>1800</v>
      </c>
      <c r="F29" s="8">
        <v>8040</v>
      </c>
      <c r="G29" s="5" t="s">
        <v>33</v>
      </c>
      <c r="H29" s="8">
        <v>2</v>
      </c>
      <c r="I29" s="40">
        <f t="shared" si="0"/>
        <v>3635.3664</v>
      </c>
      <c r="J29" s="8" t="s">
        <v>12</v>
      </c>
      <c r="K29" s="32"/>
      <c r="L29" s="32"/>
      <c r="M29" s="32"/>
      <c r="N29" s="32"/>
      <c r="O29" s="33" t="s">
        <v>852</v>
      </c>
      <c r="P29" s="33" t="s">
        <v>853</v>
      </c>
    </row>
    <row r="30" ht="22.5" customHeight="1" spans="1:15">
      <c r="A30" s="5">
        <v>25</v>
      </c>
      <c r="B30" s="5" t="s">
        <v>31</v>
      </c>
      <c r="C30" s="39" t="s">
        <v>32</v>
      </c>
      <c r="D30" s="8">
        <v>16</v>
      </c>
      <c r="E30" s="8">
        <v>1800</v>
      </c>
      <c r="F30" s="8">
        <v>8070</v>
      </c>
      <c r="G30" s="5" t="s">
        <v>33</v>
      </c>
      <c r="H30" s="8">
        <v>1</v>
      </c>
      <c r="I30" s="40">
        <f t="shared" si="0"/>
        <v>1824.4656</v>
      </c>
      <c r="J30" s="8" t="s">
        <v>12</v>
      </c>
      <c r="K30" s="32"/>
      <c r="L30" s="32"/>
      <c r="M30" s="32"/>
      <c r="N30" s="32"/>
      <c r="O30" s="33" t="s">
        <v>854</v>
      </c>
    </row>
    <row r="31" ht="22.5" customHeight="1" spans="1:15">
      <c r="A31" s="5">
        <v>26</v>
      </c>
      <c r="B31" s="5" t="s">
        <v>31</v>
      </c>
      <c r="C31" s="39" t="s">
        <v>32</v>
      </c>
      <c r="D31" s="8">
        <v>16</v>
      </c>
      <c r="E31" s="8">
        <v>1800</v>
      </c>
      <c r="F31" s="8">
        <v>8090</v>
      </c>
      <c r="G31" s="5" t="s">
        <v>33</v>
      </c>
      <c r="H31" s="8">
        <v>1</v>
      </c>
      <c r="I31" s="40">
        <f t="shared" si="0"/>
        <v>1828.9872</v>
      </c>
      <c r="J31" s="8" t="s">
        <v>34</v>
      </c>
      <c r="K31" s="32"/>
      <c r="L31" s="32"/>
      <c r="M31" s="32"/>
      <c r="N31" s="32"/>
      <c r="O31" s="33" t="s">
        <v>855</v>
      </c>
    </row>
    <row r="32" ht="22.5" customHeight="1" spans="1:15">
      <c r="A32" s="5">
        <v>27</v>
      </c>
      <c r="B32" s="5" t="s">
        <v>31</v>
      </c>
      <c r="C32" s="39" t="s">
        <v>32</v>
      </c>
      <c r="D32" s="8">
        <v>16</v>
      </c>
      <c r="E32" s="8">
        <v>1800</v>
      </c>
      <c r="F32" s="8">
        <v>8100</v>
      </c>
      <c r="G32" s="5" t="s">
        <v>33</v>
      </c>
      <c r="H32" s="8">
        <v>1</v>
      </c>
      <c r="I32" s="40">
        <f t="shared" si="0"/>
        <v>1831.248</v>
      </c>
      <c r="J32" s="8" t="s">
        <v>34</v>
      </c>
      <c r="K32" s="32"/>
      <c r="L32" s="32"/>
      <c r="M32" s="32"/>
      <c r="N32" s="32"/>
      <c r="O32" s="33" t="s">
        <v>856</v>
      </c>
    </row>
    <row r="33" ht="22.5" customHeight="1" spans="1:15">
      <c r="A33" s="5">
        <v>28</v>
      </c>
      <c r="B33" s="5" t="s">
        <v>31</v>
      </c>
      <c r="C33" s="39" t="s">
        <v>32</v>
      </c>
      <c r="D33" s="8">
        <v>16</v>
      </c>
      <c r="E33" s="8">
        <v>1800</v>
      </c>
      <c r="F33" s="8">
        <v>8140</v>
      </c>
      <c r="G33" s="5" t="s">
        <v>33</v>
      </c>
      <c r="H33" s="8">
        <v>1</v>
      </c>
      <c r="I33" s="40">
        <f t="shared" si="0"/>
        <v>1840.2912</v>
      </c>
      <c r="J33" s="8" t="s">
        <v>12</v>
      </c>
      <c r="K33" s="32"/>
      <c r="L33" s="32"/>
      <c r="M33" s="32"/>
      <c r="N33" s="32"/>
      <c r="O33" s="33" t="s">
        <v>857</v>
      </c>
    </row>
    <row r="34" ht="22.5" customHeight="1" spans="1:15">
      <c r="A34" s="5">
        <v>29</v>
      </c>
      <c r="B34" s="5" t="s">
        <v>31</v>
      </c>
      <c r="C34" s="39" t="s">
        <v>32</v>
      </c>
      <c r="D34" s="8">
        <v>16</v>
      </c>
      <c r="E34" s="8">
        <v>1800</v>
      </c>
      <c r="F34" s="8">
        <v>8230</v>
      </c>
      <c r="G34" s="5" t="s">
        <v>33</v>
      </c>
      <c r="H34" s="8">
        <v>1</v>
      </c>
      <c r="I34" s="40">
        <f t="shared" si="0"/>
        <v>1860.6384</v>
      </c>
      <c r="J34" s="8" t="s">
        <v>34</v>
      </c>
      <c r="K34" s="32"/>
      <c r="L34" s="32"/>
      <c r="M34" s="32"/>
      <c r="N34" s="32"/>
      <c r="O34" s="33" t="s">
        <v>858</v>
      </c>
    </row>
    <row r="35" ht="22.5" customHeight="1" spans="1:15">
      <c r="A35" s="5">
        <v>30</v>
      </c>
      <c r="B35" s="5" t="s">
        <v>31</v>
      </c>
      <c r="C35" s="39" t="s">
        <v>32</v>
      </c>
      <c r="D35" s="8">
        <v>16</v>
      </c>
      <c r="E35" s="8">
        <v>1800</v>
      </c>
      <c r="F35" s="8">
        <v>9720</v>
      </c>
      <c r="G35" s="5" t="s">
        <v>33</v>
      </c>
      <c r="H35" s="8">
        <v>1</v>
      </c>
      <c r="I35" s="40">
        <f t="shared" si="0"/>
        <v>2197.4976</v>
      </c>
      <c r="J35" s="8" t="s">
        <v>11</v>
      </c>
      <c r="K35" s="32"/>
      <c r="L35" s="32"/>
      <c r="M35" s="32"/>
      <c r="N35" s="32"/>
      <c r="O35" s="33" t="s">
        <v>859</v>
      </c>
    </row>
    <row r="36" ht="22.5" customHeight="1" spans="1:15">
      <c r="A36" s="5">
        <v>31</v>
      </c>
      <c r="B36" s="5" t="s">
        <v>31</v>
      </c>
      <c r="C36" s="39" t="s">
        <v>32</v>
      </c>
      <c r="D36" s="8">
        <v>16</v>
      </c>
      <c r="E36" s="8">
        <v>1800</v>
      </c>
      <c r="F36" s="8">
        <v>9740</v>
      </c>
      <c r="G36" s="5" t="s">
        <v>33</v>
      </c>
      <c r="H36" s="8">
        <v>1</v>
      </c>
      <c r="I36" s="40">
        <f t="shared" si="0"/>
        <v>2202.0192</v>
      </c>
      <c r="J36" s="8" t="s">
        <v>11</v>
      </c>
      <c r="K36" s="32"/>
      <c r="L36" s="32"/>
      <c r="M36" s="32"/>
      <c r="N36" s="32"/>
      <c r="O36" s="33" t="s">
        <v>860</v>
      </c>
    </row>
    <row r="37" ht="22.5" customHeight="1" spans="1:15">
      <c r="A37" s="5">
        <v>32</v>
      </c>
      <c r="B37" s="5" t="s">
        <v>31</v>
      </c>
      <c r="C37" s="39" t="s">
        <v>32</v>
      </c>
      <c r="D37" s="8">
        <v>16</v>
      </c>
      <c r="E37" s="8">
        <v>1800</v>
      </c>
      <c r="F37" s="8">
        <v>9770</v>
      </c>
      <c r="G37" s="5" t="s">
        <v>33</v>
      </c>
      <c r="H37" s="8">
        <v>1</v>
      </c>
      <c r="I37" s="40">
        <f t="shared" si="0"/>
        <v>2208.8016</v>
      </c>
      <c r="J37" s="8" t="s">
        <v>11</v>
      </c>
      <c r="K37" s="32"/>
      <c r="L37" s="32"/>
      <c r="M37" s="32"/>
      <c r="N37" s="32"/>
      <c r="O37" s="33" t="s">
        <v>861</v>
      </c>
    </row>
    <row r="38" ht="22.5" customHeight="1" spans="1:15">
      <c r="A38" s="5">
        <v>33</v>
      </c>
      <c r="B38" s="5" t="s">
        <v>31</v>
      </c>
      <c r="C38" s="39" t="s">
        <v>32</v>
      </c>
      <c r="D38" s="8">
        <v>16</v>
      </c>
      <c r="E38" s="8">
        <v>1800</v>
      </c>
      <c r="F38" s="8">
        <v>10060</v>
      </c>
      <c r="G38" s="5" t="s">
        <v>33</v>
      </c>
      <c r="H38" s="8">
        <v>1</v>
      </c>
      <c r="I38" s="40">
        <f t="shared" si="0"/>
        <v>2274.3648</v>
      </c>
      <c r="J38" s="8" t="s">
        <v>12</v>
      </c>
      <c r="K38" s="32"/>
      <c r="L38" s="32"/>
      <c r="M38" s="32"/>
      <c r="N38" s="32"/>
      <c r="O38" s="33" t="s">
        <v>862</v>
      </c>
    </row>
    <row r="39" ht="22.5" customHeight="1" spans="1:15">
      <c r="A39" s="5">
        <v>34</v>
      </c>
      <c r="B39" s="5" t="s">
        <v>31</v>
      </c>
      <c r="C39" s="39" t="s">
        <v>32</v>
      </c>
      <c r="D39" s="8">
        <v>16</v>
      </c>
      <c r="E39" s="8">
        <v>1800</v>
      </c>
      <c r="F39" s="8">
        <v>11560</v>
      </c>
      <c r="G39" s="5" t="s">
        <v>33</v>
      </c>
      <c r="H39" s="8">
        <v>1</v>
      </c>
      <c r="I39" s="40">
        <f t="shared" si="0"/>
        <v>2613.4848</v>
      </c>
      <c r="J39" s="8" t="s">
        <v>12</v>
      </c>
      <c r="K39" s="32"/>
      <c r="L39" s="32"/>
      <c r="M39" s="32"/>
      <c r="N39" s="32"/>
      <c r="O39" s="33" t="s">
        <v>863</v>
      </c>
    </row>
    <row r="40" ht="22.5" customHeight="1" spans="1:15">
      <c r="A40" s="5">
        <v>35</v>
      </c>
      <c r="B40" s="5" t="s">
        <v>31</v>
      </c>
      <c r="C40" s="39" t="s">
        <v>32</v>
      </c>
      <c r="D40" s="8">
        <v>16</v>
      </c>
      <c r="E40" s="8">
        <v>1800</v>
      </c>
      <c r="F40" s="8">
        <v>12080</v>
      </c>
      <c r="G40" s="5" t="s">
        <v>33</v>
      </c>
      <c r="H40" s="8">
        <v>1</v>
      </c>
      <c r="I40" s="40">
        <f t="shared" si="0"/>
        <v>2731.0464</v>
      </c>
      <c r="J40" s="8" t="s">
        <v>12</v>
      </c>
      <c r="K40" s="32"/>
      <c r="L40" s="32"/>
      <c r="M40" s="32"/>
      <c r="N40" s="32"/>
      <c r="O40" s="33" t="s">
        <v>864</v>
      </c>
    </row>
    <row r="41" ht="22.5" customHeight="1" spans="1:15">
      <c r="A41" s="5">
        <v>36</v>
      </c>
      <c r="B41" s="5" t="s">
        <v>31</v>
      </c>
      <c r="C41" s="39" t="s">
        <v>32</v>
      </c>
      <c r="D41" s="8">
        <v>16</v>
      </c>
      <c r="E41" s="8">
        <v>2000</v>
      </c>
      <c r="F41" s="8">
        <v>7400</v>
      </c>
      <c r="G41" s="5" t="s">
        <v>33</v>
      </c>
      <c r="H41" s="8">
        <v>1</v>
      </c>
      <c r="I41" s="40">
        <f t="shared" si="0"/>
        <v>1858.88</v>
      </c>
      <c r="J41" s="8" t="s">
        <v>11</v>
      </c>
      <c r="K41" s="32"/>
      <c r="L41" s="32"/>
      <c r="M41" s="32"/>
      <c r="N41" s="32"/>
      <c r="O41" s="33" t="s">
        <v>865</v>
      </c>
    </row>
    <row r="42" ht="22.5" customHeight="1" spans="1:15">
      <c r="A42" s="5">
        <v>37</v>
      </c>
      <c r="B42" s="5" t="s">
        <v>31</v>
      </c>
      <c r="C42" s="39" t="s">
        <v>32</v>
      </c>
      <c r="D42" s="8">
        <v>16</v>
      </c>
      <c r="E42" s="8">
        <v>2000</v>
      </c>
      <c r="F42" s="8">
        <v>7650</v>
      </c>
      <c r="G42" s="5" t="s">
        <v>33</v>
      </c>
      <c r="H42" s="8">
        <v>1</v>
      </c>
      <c r="I42" s="40">
        <f t="shared" si="0"/>
        <v>1921.68</v>
      </c>
      <c r="J42" s="8" t="s">
        <v>11</v>
      </c>
      <c r="K42" s="32"/>
      <c r="L42" s="32"/>
      <c r="M42" s="32"/>
      <c r="N42" s="32"/>
      <c r="O42" s="33" t="s">
        <v>866</v>
      </c>
    </row>
    <row r="43" ht="22.5" customHeight="1" spans="1:15">
      <c r="A43" s="5">
        <v>38</v>
      </c>
      <c r="B43" s="5" t="s">
        <v>31</v>
      </c>
      <c r="C43" s="39" t="s">
        <v>32</v>
      </c>
      <c r="D43" s="8">
        <v>16</v>
      </c>
      <c r="E43" s="8">
        <v>2000</v>
      </c>
      <c r="F43" s="8">
        <v>7720</v>
      </c>
      <c r="G43" s="5" t="s">
        <v>33</v>
      </c>
      <c r="H43" s="8">
        <v>1</v>
      </c>
      <c r="I43" s="40">
        <f t="shared" si="0"/>
        <v>1939.264</v>
      </c>
      <c r="J43" s="8" t="s">
        <v>11</v>
      </c>
      <c r="K43" s="32"/>
      <c r="L43" s="32"/>
      <c r="M43" s="32"/>
      <c r="N43" s="32"/>
      <c r="O43" s="33" t="s">
        <v>867</v>
      </c>
    </row>
    <row r="44" ht="22.5" customHeight="1" spans="1:15">
      <c r="A44" s="5">
        <v>39</v>
      </c>
      <c r="B44" s="5" t="s">
        <v>31</v>
      </c>
      <c r="C44" s="39" t="s">
        <v>32</v>
      </c>
      <c r="D44" s="8">
        <v>16</v>
      </c>
      <c r="E44" s="8">
        <v>2000</v>
      </c>
      <c r="F44" s="8">
        <v>8040</v>
      </c>
      <c r="G44" s="5" t="s">
        <v>33</v>
      </c>
      <c r="H44" s="8">
        <v>1</v>
      </c>
      <c r="I44" s="40">
        <f t="shared" si="0"/>
        <v>2019.648</v>
      </c>
      <c r="J44" s="8" t="s">
        <v>34</v>
      </c>
      <c r="K44" s="32"/>
      <c r="L44" s="32"/>
      <c r="M44" s="32"/>
      <c r="N44" s="32"/>
      <c r="O44" s="33" t="s">
        <v>868</v>
      </c>
    </row>
    <row r="45" ht="22.5" customHeight="1" spans="1:15">
      <c r="A45" s="5">
        <v>40</v>
      </c>
      <c r="B45" s="5" t="s">
        <v>31</v>
      </c>
      <c r="C45" s="39" t="s">
        <v>32</v>
      </c>
      <c r="D45" s="8">
        <v>16</v>
      </c>
      <c r="E45" s="8">
        <v>2000</v>
      </c>
      <c r="F45" s="8">
        <v>8050</v>
      </c>
      <c r="G45" s="5" t="s">
        <v>33</v>
      </c>
      <c r="H45" s="8">
        <v>1</v>
      </c>
      <c r="I45" s="40">
        <f t="shared" si="0"/>
        <v>2022.16</v>
      </c>
      <c r="J45" s="8" t="s">
        <v>34</v>
      </c>
      <c r="K45" s="32"/>
      <c r="L45" s="32"/>
      <c r="M45" s="32"/>
      <c r="N45" s="32"/>
      <c r="O45" s="33" t="s">
        <v>869</v>
      </c>
    </row>
    <row r="46" ht="22.5" customHeight="1" spans="1:15">
      <c r="A46" s="5">
        <v>41</v>
      </c>
      <c r="B46" s="5" t="s">
        <v>31</v>
      </c>
      <c r="C46" s="39" t="s">
        <v>32</v>
      </c>
      <c r="D46" s="8">
        <v>16</v>
      </c>
      <c r="E46" s="8">
        <v>2000</v>
      </c>
      <c r="F46" s="8">
        <v>8070</v>
      </c>
      <c r="G46" s="5" t="s">
        <v>33</v>
      </c>
      <c r="H46" s="8">
        <v>1</v>
      </c>
      <c r="I46" s="40">
        <f t="shared" si="0"/>
        <v>2027.184</v>
      </c>
      <c r="J46" s="8" t="s">
        <v>34</v>
      </c>
      <c r="K46" s="32"/>
      <c r="L46" s="32"/>
      <c r="M46" s="32"/>
      <c r="N46" s="32"/>
      <c r="O46" s="33" t="s">
        <v>870</v>
      </c>
    </row>
    <row r="47" ht="22.5" customHeight="1" spans="1:15">
      <c r="A47" s="5">
        <v>42</v>
      </c>
      <c r="B47" s="5" t="s">
        <v>31</v>
      </c>
      <c r="C47" s="39" t="s">
        <v>32</v>
      </c>
      <c r="D47" s="8">
        <v>16</v>
      </c>
      <c r="E47" s="8">
        <v>2000</v>
      </c>
      <c r="F47" s="8">
        <v>8150</v>
      </c>
      <c r="G47" s="5" t="s">
        <v>33</v>
      </c>
      <c r="H47" s="8">
        <v>1</v>
      </c>
      <c r="I47" s="40">
        <f t="shared" si="0"/>
        <v>2047.28</v>
      </c>
      <c r="J47" s="8" t="s">
        <v>34</v>
      </c>
      <c r="K47" s="32"/>
      <c r="L47" s="32"/>
      <c r="M47" s="32"/>
      <c r="N47" s="32"/>
      <c r="O47" s="33" t="s">
        <v>871</v>
      </c>
    </row>
    <row r="48" ht="22.5" customHeight="1" spans="1:15">
      <c r="A48" s="5">
        <v>43</v>
      </c>
      <c r="B48" s="5" t="s">
        <v>31</v>
      </c>
      <c r="C48" s="39" t="s">
        <v>32</v>
      </c>
      <c r="D48" s="8">
        <v>16</v>
      </c>
      <c r="E48" s="8">
        <v>2000</v>
      </c>
      <c r="F48" s="8">
        <v>8190</v>
      </c>
      <c r="G48" s="5" t="s">
        <v>33</v>
      </c>
      <c r="H48" s="8">
        <v>1</v>
      </c>
      <c r="I48" s="40">
        <f t="shared" si="0"/>
        <v>2057.328</v>
      </c>
      <c r="J48" s="8" t="s">
        <v>34</v>
      </c>
      <c r="K48" s="32">
        <f>SUM(I9:I48)</f>
        <v>106612.9224</v>
      </c>
      <c r="L48" s="32">
        <f>[23]Sheet2!$N$42</f>
        <v>106612.9224</v>
      </c>
      <c r="M48" s="32"/>
      <c r="N48" s="32"/>
      <c r="O48" s="33" t="s">
        <v>872</v>
      </c>
    </row>
    <row r="49" ht="22.5" customHeight="1" spans="1:14">
      <c r="A49" s="5" t="s">
        <v>40</v>
      </c>
      <c r="B49" s="5"/>
      <c r="C49" s="5"/>
      <c r="D49" s="5"/>
      <c r="E49" s="5"/>
      <c r="F49" s="5"/>
      <c r="G49" s="5"/>
      <c r="H49" s="5"/>
      <c r="I49" s="40">
        <f>SUM(I6:I48)</f>
        <v>113176.3074</v>
      </c>
      <c r="J49" s="13"/>
      <c r="K49" s="32"/>
      <c r="L49" s="32"/>
      <c r="M49" s="32"/>
      <c r="N49" s="32"/>
    </row>
    <row r="50" ht="16.5" spans="1:10">
      <c r="A50" s="22" t="s">
        <v>41</v>
      </c>
      <c r="B50" s="22"/>
      <c r="C50" s="22"/>
      <c r="D50" s="22"/>
      <c r="E50" s="22"/>
      <c r="F50" s="22"/>
      <c r="G50" s="22"/>
      <c r="H50" s="22"/>
      <c r="I50" s="22"/>
      <c r="J50" s="22"/>
    </row>
    <row r="51" ht="16.5" spans="1:10">
      <c r="A51" s="22" t="s">
        <v>401</v>
      </c>
      <c r="B51" s="22"/>
      <c r="C51" s="22"/>
      <c r="D51" s="22"/>
      <c r="E51" s="22"/>
      <c r="F51" s="22"/>
      <c r="G51" s="22"/>
      <c r="H51" s="22"/>
      <c r="I51" s="22"/>
      <c r="J51" s="22"/>
    </row>
    <row r="52" ht="16.5" spans="1:10">
      <c r="A52" s="16" t="s">
        <v>457</v>
      </c>
      <c r="B52" s="17"/>
      <c r="C52" s="17"/>
      <c r="D52" s="17"/>
      <c r="E52" s="17"/>
      <c r="F52" s="17"/>
      <c r="G52" s="17"/>
      <c r="H52" s="17"/>
      <c r="I52" s="17"/>
      <c r="J52" s="17"/>
    </row>
  </sheetData>
  <autoFilter ref="A5:J52">
    <sortState ref="A5:J52">
      <sortCondition ref="E5"/>
    </sortState>
    <extLst/>
  </autoFilter>
  <mergeCells count="7">
    <mergeCell ref="A1:J1"/>
    <mergeCell ref="A2:J2"/>
    <mergeCell ref="A3:F3"/>
    <mergeCell ref="A49:H49"/>
    <mergeCell ref="A50:J50"/>
    <mergeCell ref="A51:J51"/>
    <mergeCell ref="A52:J52"/>
  </mergeCells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5"/>
  <dimension ref="A1:R56"/>
  <sheetViews>
    <sheetView topLeftCell="B2" workbookViewId="0">
      <selection activeCell="O2" sqref="O$1:S$1048576"/>
    </sheetView>
  </sheetViews>
  <sheetFormatPr defaultColWidth="9" defaultRowHeight="13.5"/>
  <cols>
    <col min="1" max="1" width="8.25" customWidth="1"/>
    <col min="2" max="2" width="7.125" customWidth="1"/>
    <col min="3" max="5" width="8.25" customWidth="1"/>
    <col min="6" max="6" width="10" customWidth="1"/>
    <col min="7" max="7" width="7.375" customWidth="1"/>
    <col min="8" max="8" width="7.625" customWidth="1"/>
    <col min="9" max="9" width="10.625" customWidth="1"/>
    <col min="10" max="10" width="10.0083333333333" customWidth="1"/>
    <col min="11" max="11" width="11.175" hidden="1" customWidth="1"/>
    <col min="12" max="12" width="14.3416666666667" hidden="1" customWidth="1"/>
    <col min="13" max="14" width="11.5" hidden="1" customWidth="1"/>
    <col min="15" max="19" width="9" hidden="1" customWidth="1"/>
  </cols>
  <sheetData>
    <row r="1" ht="28.5" customHeight="1" spans="1:12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  <c r="K1" s="24"/>
      <c r="L1" s="24"/>
    </row>
    <row r="2" ht="28.5" customHeight="1" spans="1:12">
      <c r="A2" s="15" t="s">
        <v>20</v>
      </c>
      <c r="B2" s="15"/>
      <c r="C2" s="15"/>
      <c r="D2" s="15"/>
      <c r="E2" s="15"/>
      <c r="F2" s="15"/>
      <c r="G2" s="15"/>
      <c r="H2" s="15"/>
      <c r="I2" s="15"/>
      <c r="J2" s="15"/>
      <c r="K2" s="24"/>
      <c r="L2" s="24"/>
    </row>
    <row r="3" ht="22.5" customHeight="1" spans="1:12">
      <c r="A3" s="16" t="s">
        <v>21</v>
      </c>
      <c r="B3" s="17"/>
      <c r="C3" s="17"/>
      <c r="D3" s="17"/>
      <c r="E3" s="17"/>
      <c r="F3" s="17"/>
      <c r="G3" s="17"/>
      <c r="H3" s="17"/>
      <c r="I3" s="44"/>
      <c r="J3" s="26"/>
      <c r="K3" s="27"/>
      <c r="L3" s="27"/>
    </row>
    <row r="4" ht="22.5" customHeight="1" spans="1:12">
      <c r="A4" s="18" t="s">
        <v>873</v>
      </c>
      <c r="B4" s="19"/>
      <c r="C4" s="19"/>
      <c r="D4" s="17"/>
      <c r="E4" s="19"/>
      <c r="F4" s="19"/>
      <c r="G4" s="17"/>
      <c r="H4" s="17"/>
      <c r="I4" s="45"/>
      <c r="J4" s="26"/>
      <c r="K4" s="27"/>
      <c r="L4" s="27"/>
    </row>
    <row r="5" ht="22.5" customHeight="1" spans="1:12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29" t="s">
        <v>29</v>
      </c>
      <c r="J5" s="11" t="s">
        <v>30</v>
      </c>
      <c r="K5" s="30"/>
      <c r="L5" s="30"/>
    </row>
    <row r="6" ht="22.5" customHeight="1" spans="1:12">
      <c r="A6" s="5">
        <v>1</v>
      </c>
      <c r="B6" s="5" t="s">
        <v>31</v>
      </c>
      <c r="C6" s="39" t="s">
        <v>32</v>
      </c>
      <c r="D6" s="5">
        <v>12</v>
      </c>
      <c r="E6" s="5">
        <v>1500</v>
      </c>
      <c r="F6" s="5">
        <v>8560</v>
      </c>
      <c r="G6" s="5" t="s">
        <v>33</v>
      </c>
      <c r="H6" s="5">
        <v>1</v>
      </c>
      <c r="I6" s="40">
        <f>H6*F6*E6*D6*7.85/1000000</f>
        <v>1209.528</v>
      </c>
      <c r="J6" s="5" t="s">
        <v>17</v>
      </c>
      <c r="K6" s="37" t="s">
        <v>874</v>
      </c>
      <c r="L6" s="8">
        <v>1</v>
      </c>
    </row>
    <row r="7" ht="22.5" customHeight="1" spans="1:12">
      <c r="A7" s="5">
        <v>2</v>
      </c>
      <c r="B7" s="5" t="s">
        <v>31</v>
      </c>
      <c r="C7" s="39" t="s">
        <v>32</v>
      </c>
      <c r="D7" s="5">
        <v>12</v>
      </c>
      <c r="E7" s="5">
        <v>1500</v>
      </c>
      <c r="F7" s="5">
        <v>10270</v>
      </c>
      <c r="G7" s="5" t="s">
        <v>33</v>
      </c>
      <c r="H7" s="5">
        <v>1</v>
      </c>
      <c r="I7" s="40">
        <f>H7*F7*E7*D7*7.85/1000000</f>
        <v>1451.151</v>
      </c>
      <c r="J7" s="39" t="s">
        <v>234</v>
      </c>
      <c r="K7" s="37" t="s">
        <v>875</v>
      </c>
      <c r="L7" s="8">
        <v>1</v>
      </c>
    </row>
    <row r="8" ht="22.5" customHeight="1" spans="1:12">
      <c r="A8" s="5">
        <v>3</v>
      </c>
      <c r="B8" s="5" t="s">
        <v>31</v>
      </c>
      <c r="C8" s="39" t="s">
        <v>32</v>
      </c>
      <c r="D8" s="5">
        <v>12</v>
      </c>
      <c r="E8" s="5">
        <f>1960+40</f>
        <v>2000</v>
      </c>
      <c r="F8" s="5">
        <v>7520</v>
      </c>
      <c r="G8" s="5" t="s">
        <v>33</v>
      </c>
      <c r="H8" s="5">
        <v>1</v>
      </c>
      <c r="I8" s="40">
        <f>H8*F8*E8*D8*7.85/1000000</f>
        <v>1416.768</v>
      </c>
      <c r="J8" s="5" t="s">
        <v>16</v>
      </c>
      <c r="K8" s="37" t="s">
        <v>876</v>
      </c>
      <c r="L8" s="8">
        <v>1</v>
      </c>
    </row>
    <row r="9" ht="22.5" customHeight="1" spans="1:12">
      <c r="A9" s="5">
        <v>4</v>
      </c>
      <c r="B9" s="5" t="s">
        <v>31</v>
      </c>
      <c r="C9" s="5" t="s">
        <v>32</v>
      </c>
      <c r="D9" s="5">
        <v>12</v>
      </c>
      <c r="E9" s="5">
        <f>1960+40</f>
        <v>2000</v>
      </c>
      <c r="F9" s="5">
        <v>10020</v>
      </c>
      <c r="G9" s="5" t="s">
        <v>33</v>
      </c>
      <c r="H9" s="5">
        <v>1</v>
      </c>
      <c r="I9" s="40">
        <f>H9*F9*E9*D9*7.85/1000000</f>
        <v>1887.768</v>
      </c>
      <c r="J9" s="5" t="s">
        <v>16</v>
      </c>
      <c r="K9" s="37" t="s">
        <v>877</v>
      </c>
      <c r="L9" s="8">
        <v>1</v>
      </c>
    </row>
    <row r="10" ht="22.5" customHeight="1" spans="1:18">
      <c r="A10" s="5">
        <v>5</v>
      </c>
      <c r="B10" s="5" t="s">
        <v>31</v>
      </c>
      <c r="C10" s="5" t="s">
        <v>32</v>
      </c>
      <c r="D10" s="5">
        <v>16</v>
      </c>
      <c r="E10" s="5">
        <v>1500</v>
      </c>
      <c r="F10" s="5">
        <v>7420</v>
      </c>
      <c r="G10" s="5" t="s">
        <v>33</v>
      </c>
      <c r="H10" s="5">
        <v>4</v>
      </c>
      <c r="I10" s="40">
        <f t="shared" ref="I10:I52" si="0">H10*F10*E10*D10*7.85/1000000</f>
        <v>5591.712</v>
      </c>
      <c r="J10" s="5" t="s">
        <v>11</v>
      </c>
      <c r="K10" s="32"/>
      <c r="L10" s="32"/>
      <c r="O10" s="33" t="s">
        <v>878</v>
      </c>
      <c r="P10" s="33" t="s">
        <v>879</v>
      </c>
      <c r="Q10" s="33" t="s">
        <v>880</v>
      </c>
      <c r="R10" s="33" t="s">
        <v>881</v>
      </c>
    </row>
    <row r="11" ht="22.5" customHeight="1" spans="1:16">
      <c r="A11" s="5">
        <v>6</v>
      </c>
      <c r="B11" s="5" t="s">
        <v>31</v>
      </c>
      <c r="C11" s="5" t="s">
        <v>32</v>
      </c>
      <c r="D11" s="5">
        <v>16</v>
      </c>
      <c r="E11" s="5">
        <v>1500</v>
      </c>
      <c r="F11" s="5">
        <v>7430</v>
      </c>
      <c r="G11" s="5" t="s">
        <v>33</v>
      </c>
      <c r="H11" s="5">
        <v>2</v>
      </c>
      <c r="I11" s="40">
        <f t="shared" si="0"/>
        <v>2799.624</v>
      </c>
      <c r="J11" s="5" t="s">
        <v>11</v>
      </c>
      <c r="K11" s="32"/>
      <c r="L11" s="32"/>
      <c r="O11" s="33" t="s">
        <v>882</v>
      </c>
      <c r="P11" s="33" t="s">
        <v>883</v>
      </c>
    </row>
    <row r="12" ht="22.5" customHeight="1" spans="1:17">
      <c r="A12" s="5">
        <v>7</v>
      </c>
      <c r="B12" s="5" t="s">
        <v>31</v>
      </c>
      <c r="C12" s="5" t="s">
        <v>32</v>
      </c>
      <c r="D12" s="5">
        <v>16</v>
      </c>
      <c r="E12" s="5">
        <v>1500</v>
      </c>
      <c r="F12" s="5">
        <v>7760</v>
      </c>
      <c r="G12" s="5" t="s">
        <v>33</v>
      </c>
      <c r="H12" s="5">
        <v>3</v>
      </c>
      <c r="I12" s="40">
        <f t="shared" si="0"/>
        <v>4385.952</v>
      </c>
      <c r="J12" s="5" t="s">
        <v>11</v>
      </c>
      <c r="K12" s="32"/>
      <c r="L12" s="32"/>
      <c r="O12" s="33" t="s">
        <v>884</v>
      </c>
      <c r="P12" s="33" t="s">
        <v>885</v>
      </c>
      <c r="Q12" s="33" t="s">
        <v>886</v>
      </c>
    </row>
    <row r="13" ht="22.5" customHeight="1" spans="1:15">
      <c r="A13" s="5">
        <v>8</v>
      </c>
      <c r="B13" s="5" t="s">
        <v>31</v>
      </c>
      <c r="C13" s="5" t="s">
        <v>32</v>
      </c>
      <c r="D13" s="5">
        <v>16</v>
      </c>
      <c r="E13" s="5">
        <v>1500</v>
      </c>
      <c r="F13" s="5">
        <v>8020</v>
      </c>
      <c r="G13" s="5" t="s">
        <v>33</v>
      </c>
      <c r="H13" s="5">
        <v>1</v>
      </c>
      <c r="I13" s="40">
        <f t="shared" si="0"/>
        <v>1510.968</v>
      </c>
      <c r="J13" s="5" t="s">
        <v>34</v>
      </c>
      <c r="K13" s="32"/>
      <c r="L13" s="32"/>
      <c r="O13" s="33" t="s">
        <v>887</v>
      </c>
    </row>
    <row r="14" ht="22.5" customHeight="1" spans="1:16">
      <c r="A14" s="5">
        <v>9</v>
      </c>
      <c r="B14" s="5" t="s">
        <v>31</v>
      </c>
      <c r="C14" s="5" t="s">
        <v>32</v>
      </c>
      <c r="D14" s="5">
        <v>16</v>
      </c>
      <c r="E14" s="5">
        <v>1500</v>
      </c>
      <c r="F14" s="5">
        <v>8030</v>
      </c>
      <c r="G14" s="5" t="s">
        <v>33</v>
      </c>
      <c r="H14" s="5">
        <v>2</v>
      </c>
      <c r="I14" s="40">
        <f t="shared" si="0"/>
        <v>3025.704</v>
      </c>
      <c r="J14" s="5" t="s">
        <v>34</v>
      </c>
      <c r="K14" s="32"/>
      <c r="L14" s="32"/>
      <c r="O14" s="33" t="s">
        <v>888</v>
      </c>
      <c r="P14" s="33" t="s">
        <v>889</v>
      </c>
    </row>
    <row r="15" ht="22.5" customHeight="1" spans="1:15">
      <c r="A15" s="5">
        <v>10</v>
      </c>
      <c r="B15" s="5" t="s">
        <v>31</v>
      </c>
      <c r="C15" s="5" t="s">
        <v>32</v>
      </c>
      <c r="D15" s="5">
        <v>16</v>
      </c>
      <c r="E15" s="5">
        <v>1500</v>
      </c>
      <c r="F15" s="5">
        <v>8060</v>
      </c>
      <c r="G15" s="5" t="s">
        <v>33</v>
      </c>
      <c r="H15" s="5">
        <v>1</v>
      </c>
      <c r="I15" s="40">
        <f t="shared" si="0"/>
        <v>1518.504</v>
      </c>
      <c r="J15" s="5" t="s">
        <v>34</v>
      </c>
      <c r="K15" s="32"/>
      <c r="L15" s="32"/>
      <c r="O15" s="33" t="s">
        <v>890</v>
      </c>
    </row>
    <row r="16" ht="22.5" customHeight="1" spans="1:17">
      <c r="A16" s="5">
        <v>11</v>
      </c>
      <c r="B16" s="5" t="s">
        <v>31</v>
      </c>
      <c r="C16" s="5" t="s">
        <v>32</v>
      </c>
      <c r="D16" s="5">
        <v>16</v>
      </c>
      <c r="E16" s="5">
        <v>1500</v>
      </c>
      <c r="F16" s="5">
        <v>9700</v>
      </c>
      <c r="G16" s="5" t="s">
        <v>33</v>
      </c>
      <c r="H16" s="5">
        <v>3</v>
      </c>
      <c r="I16" s="40">
        <f t="shared" si="0"/>
        <v>5482.44</v>
      </c>
      <c r="J16" s="5" t="s">
        <v>11</v>
      </c>
      <c r="K16" s="32"/>
      <c r="L16" s="32"/>
      <c r="O16" s="33" t="s">
        <v>891</v>
      </c>
      <c r="P16" s="33" t="s">
        <v>892</v>
      </c>
      <c r="Q16" s="33" t="s">
        <v>893</v>
      </c>
    </row>
    <row r="17" ht="22.5" customHeight="1" spans="1:15">
      <c r="A17" s="5">
        <v>12</v>
      </c>
      <c r="B17" s="5" t="s">
        <v>31</v>
      </c>
      <c r="C17" s="5" t="s">
        <v>32</v>
      </c>
      <c r="D17" s="5">
        <v>16</v>
      </c>
      <c r="E17" s="5">
        <v>1500</v>
      </c>
      <c r="F17" s="5">
        <v>10000</v>
      </c>
      <c r="G17" s="5" t="s">
        <v>33</v>
      </c>
      <c r="H17" s="5">
        <v>1</v>
      </c>
      <c r="I17" s="40">
        <f t="shared" si="0"/>
        <v>1884</v>
      </c>
      <c r="J17" s="5" t="s">
        <v>34</v>
      </c>
      <c r="K17" s="32"/>
      <c r="L17" s="32"/>
      <c r="O17" s="33" t="s">
        <v>894</v>
      </c>
    </row>
    <row r="18" ht="22.5" customHeight="1" spans="1:15">
      <c r="A18" s="5">
        <v>13</v>
      </c>
      <c r="B18" s="5" t="s">
        <v>31</v>
      </c>
      <c r="C18" s="5" t="s">
        <v>32</v>
      </c>
      <c r="D18" s="5">
        <v>16</v>
      </c>
      <c r="E18" s="5">
        <v>1800</v>
      </c>
      <c r="F18" s="5">
        <v>7290</v>
      </c>
      <c r="G18" s="5" t="s">
        <v>33</v>
      </c>
      <c r="H18" s="5">
        <v>1</v>
      </c>
      <c r="I18" s="40">
        <f t="shared" si="0"/>
        <v>1648.1232</v>
      </c>
      <c r="J18" s="5" t="s">
        <v>11</v>
      </c>
      <c r="K18" s="32"/>
      <c r="L18" s="32"/>
      <c r="O18" s="33" t="s">
        <v>895</v>
      </c>
    </row>
    <row r="19" ht="22.5" customHeight="1" spans="1:15">
      <c r="A19" s="5">
        <v>14</v>
      </c>
      <c r="B19" s="5" t="s">
        <v>31</v>
      </c>
      <c r="C19" s="5" t="s">
        <v>32</v>
      </c>
      <c r="D19" s="5">
        <v>16</v>
      </c>
      <c r="E19" s="5">
        <v>1800</v>
      </c>
      <c r="F19" s="5">
        <v>7380</v>
      </c>
      <c r="G19" s="5" t="s">
        <v>33</v>
      </c>
      <c r="H19" s="5">
        <v>1</v>
      </c>
      <c r="I19" s="40">
        <f t="shared" si="0"/>
        <v>1668.4704</v>
      </c>
      <c r="J19" s="5" t="s">
        <v>11</v>
      </c>
      <c r="K19" s="32"/>
      <c r="L19" s="32"/>
      <c r="O19" s="33" t="s">
        <v>896</v>
      </c>
    </row>
    <row r="20" ht="22.5" customHeight="1" spans="1:17">
      <c r="A20" s="5">
        <v>15</v>
      </c>
      <c r="B20" s="5" t="s">
        <v>31</v>
      </c>
      <c r="C20" s="5" t="s">
        <v>32</v>
      </c>
      <c r="D20" s="5">
        <v>16</v>
      </c>
      <c r="E20" s="5">
        <v>1800</v>
      </c>
      <c r="F20" s="5">
        <v>7400</v>
      </c>
      <c r="G20" s="5" t="s">
        <v>33</v>
      </c>
      <c r="H20" s="5">
        <v>3</v>
      </c>
      <c r="I20" s="40">
        <f t="shared" si="0"/>
        <v>5018.976</v>
      </c>
      <c r="J20" s="5" t="s">
        <v>11</v>
      </c>
      <c r="K20" s="32"/>
      <c r="L20" s="32"/>
      <c r="O20" s="33" t="s">
        <v>897</v>
      </c>
      <c r="P20" s="33" t="s">
        <v>898</v>
      </c>
      <c r="Q20" s="33" t="s">
        <v>899</v>
      </c>
    </row>
    <row r="21" ht="22.5" customHeight="1" spans="1:15">
      <c r="A21" s="5">
        <v>16</v>
      </c>
      <c r="B21" s="5" t="s">
        <v>31</v>
      </c>
      <c r="C21" s="5" t="s">
        <v>32</v>
      </c>
      <c r="D21" s="5">
        <v>16</v>
      </c>
      <c r="E21" s="5">
        <v>1800</v>
      </c>
      <c r="F21" s="5">
        <v>7530</v>
      </c>
      <c r="G21" s="5" t="s">
        <v>33</v>
      </c>
      <c r="H21" s="5">
        <v>1</v>
      </c>
      <c r="I21" s="40">
        <f t="shared" si="0"/>
        <v>1702.3824</v>
      </c>
      <c r="J21" s="5" t="s">
        <v>11</v>
      </c>
      <c r="K21" s="32"/>
      <c r="L21" s="32"/>
      <c r="O21" s="33" t="s">
        <v>900</v>
      </c>
    </row>
    <row r="22" ht="22.5" customHeight="1" spans="1:15">
      <c r="A22" s="5">
        <v>17</v>
      </c>
      <c r="B22" s="5" t="s">
        <v>31</v>
      </c>
      <c r="C22" s="5" t="s">
        <v>32</v>
      </c>
      <c r="D22" s="5">
        <v>16</v>
      </c>
      <c r="E22" s="5">
        <v>1800</v>
      </c>
      <c r="F22" s="5">
        <v>7540</v>
      </c>
      <c r="G22" s="5" t="s">
        <v>33</v>
      </c>
      <c r="H22" s="5">
        <v>1</v>
      </c>
      <c r="I22" s="40">
        <f t="shared" si="0"/>
        <v>1704.6432</v>
      </c>
      <c r="J22" s="5" t="s">
        <v>11</v>
      </c>
      <c r="K22" s="32"/>
      <c r="L22" s="32"/>
      <c r="O22" s="33" t="s">
        <v>901</v>
      </c>
    </row>
    <row r="23" ht="22.5" customHeight="1" spans="1:15">
      <c r="A23" s="5">
        <v>18</v>
      </c>
      <c r="B23" s="5" t="s">
        <v>31</v>
      </c>
      <c r="C23" s="5" t="s">
        <v>32</v>
      </c>
      <c r="D23" s="5">
        <v>16</v>
      </c>
      <c r="E23" s="5">
        <v>1800</v>
      </c>
      <c r="F23" s="5">
        <v>7560</v>
      </c>
      <c r="G23" s="5" t="s">
        <v>33</v>
      </c>
      <c r="H23" s="5">
        <v>1</v>
      </c>
      <c r="I23" s="40">
        <f t="shared" si="0"/>
        <v>1709.1648</v>
      </c>
      <c r="J23" s="5" t="s">
        <v>12</v>
      </c>
      <c r="K23" s="32"/>
      <c r="L23" s="32"/>
      <c r="O23" s="33" t="s">
        <v>902</v>
      </c>
    </row>
    <row r="24" ht="22.5" customHeight="1" spans="1:15">
      <c r="A24" s="5">
        <v>19</v>
      </c>
      <c r="B24" s="5" t="s">
        <v>31</v>
      </c>
      <c r="C24" s="5" t="s">
        <v>32</v>
      </c>
      <c r="D24" s="5">
        <v>16</v>
      </c>
      <c r="E24" s="5">
        <v>1800</v>
      </c>
      <c r="F24" s="5">
        <v>7570</v>
      </c>
      <c r="G24" s="5" t="s">
        <v>33</v>
      </c>
      <c r="H24" s="5">
        <v>1</v>
      </c>
      <c r="I24" s="40">
        <f t="shared" si="0"/>
        <v>1711.4256</v>
      </c>
      <c r="J24" s="5" t="s">
        <v>11</v>
      </c>
      <c r="K24" s="32"/>
      <c r="L24" s="32"/>
      <c r="O24" s="33" t="s">
        <v>903</v>
      </c>
    </row>
    <row r="25" ht="22.5" customHeight="1" spans="1:15">
      <c r="A25" s="5">
        <v>20</v>
      </c>
      <c r="B25" s="5" t="s">
        <v>31</v>
      </c>
      <c r="C25" s="5" t="s">
        <v>32</v>
      </c>
      <c r="D25" s="5">
        <v>16</v>
      </c>
      <c r="E25" s="5">
        <v>1800</v>
      </c>
      <c r="F25" s="5">
        <v>7620</v>
      </c>
      <c r="G25" s="5" t="s">
        <v>33</v>
      </c>
      <c r="H25" s="5">
        <v>1</v>
      </c>
      <c r="I25" s="40">
        <f t="shared" si="0"/>
        <v>1722.7296</v>
      </c>
      <c r="J25" s="5" t="s">
        <v>12</v>
      </c>
      <c r="K25" s="32"/>
      <c r="L25" s="32"/>
      <c r="O25" s="33" t="s">
        <v>904</v>
      </c>
    </row>
    <row r="26" ht="22.5" customHeight="1" spans="1:15">
      <c r="A26" s="5">
        <v>21</v>
      </c>
      <c r="B26" s="5" t="s">
        <v>31</v>
      </c>
      <c r="C26" s="5" t="s">
        <v>32</v>
      </c>
      <c r="D26" s="5">
        <v>16</v>
      </c>
      <c r="E26" s="5">
        <v>1800</v>
      </c>
      <c r="F26" s="5">
        <v>7630</v>
      </c>
      <c r="G26" s="5" t="s">
        <v>33</v>
      </c>
      <c r="H26" s="5">
        <v>1</v>
      </c>
      <c r="I26" s="40">
        <f t="shared" si="0"/>
        <v>1724.9904</v>
      </c>
      <c r="J26" s="5" t="s">
        <v>11</v>
      </c>
      <c r="K26" s="32"/>
      <c r="L26" s="32"/>
      <c r="O26" s="33" t="s">
        <v>905</v>
      </c>
    </row>
    <row r="27" ht="22.5" customHeight="1" spans="1:15">
      <c r="A27" s="5">
        <v>22</v>
      </c>
      <c r="B27" s="5" t="s">
        <v>31</v>
      </c>
      <c r="C27" s="5" t="s">
        <v>32</v>
      </c>
      <c r="D27" s="5">
        <v>16</v>
      </c>
      <c r="E27" s="5">
        <v>1800</v>
      </c>
      <c r="F27" s="5">
        <v>7720</v>
      </c>
      <c r="G27" s="5" t="s">
        <v>33</v>
      </c>
      <c r="H27" s="5">
        <v>1</v>
      </c>
      <c r="I27" s="40">
        <f t="shared" si="0"/>
        <v>1745.3376</v>
      </c>
      <c r="J27" s="5" t="s">
        <v>12</v>
      </c>
      <c r="K27" s="32"/>
      <c r="L27" s="32"/>
      <c r="O27" s="33" t="s">
        <v>906</v>
      </c>
    </row>
    <row r="28" ht="22.5" customHeight="1" spans="1:15">
      <c r="A28" s="5">
        <v>23</v>
      </c>
      <c r="B28" s="5" t="s">
        <v>31</v>
      </c>
      <c r="C28" s="5" t="s">
        <v>32</v>
      </c>
      <c r="D28" s="5">
        <v>16</v>
      </c>
      <c r="E28" s="5">
        <v>1800</v>
      </c>
      <c r="F28" s="5">
        <v>7950</v>
      </c>
      <c r="G28" s="5" t="s">
        <v>33</v>
      </c>
      <c r="H28" s="5">
        <v>1</v>
      </c>
      <c r="I28" s="40">
        <f t="shared" si="0"/>
        <v>1797.336</v>
      </c>
      <c r="J28" s="5" t="s">
        <v>12</v>
      </c>
      <c r="K28" s="32"/>
      <c r="L28" s="32"/>
      <c r="O28" s="33" t="s">
        <v>907</v>
      </c>
    </row>
    <row r="29" ht="22.5" customHeight="1" spans="1:15">
      <c r="A29" s="5">
        <v>24</v>
      </c>
      <c r="B29" s="5" t="s">
        <v>31</v>
      </c>
      <c r="C29" s="5" t="s">
        <v>32</v>
      </c>
      <c r="D29" s="5">
        <v>16</v>
      </c>
      <c r="E29" s="5">
        <v>1800</v>
      </c>
      <c r="F29" s="5">
        <v>8000</v>
      </c>
      <c r="G29" s="5" t="s">
        <v>33</v>
      </c>
      <c r="H29" s="5">
        <v>1</v>
      </c>
      <c r="I29" s="40">
        <f t="shared" si="0"/>
        <v>1808.64</v>
      </c>
      <c r="J29" s="5" t="s">
        <v>11</v>
      </c>
      <c r="K29" s="32"/>
      <c r="L29" s="32"/>
      <c r="O29" s="33" t="s">
        <v>908</v>
      </c>
    </row>
    <row r="30" ht="22.5" customHeight="1" spans="1:15">
      <c r="A30" s="5">
        <v>25</v>
      </c>
      <c r="B30" s="5" t="s">
        <v>31</v>
      </c>
      <c r="C30" s="5" t="s">
        <v>32</v>
      </c>
      <c r="D30" s="5">
        <v>16</v>
      </c>
      <c r="E30" s="5">
        <v>1800</v>
      </c>
      <c r="F30" s="5">
        <v>8020</v>
      </c>
      <c r="G30" s="5" t="s">
        <v>33</v>
      </c>
      <c r="H30" s="5">
        <v>1</v>
      </c>
      <c r="I30" s="40">
        <f t="shared" si="0"/>
        <v>1813.1616</v>
      </c>
      <c r="J30" s="5" t="s">
        <v>12</v>
      </c>
      <c r="K30" s="32"/>
      <c r="L30" s="32"/>
      <c r="O30" s="33" t="s">
        <v>909</v>
      </c>
    </row>
    <row r="31" ht="22.5" customHeight="1" spans="1:15">
      <c r="A31" s="5">
        <v>26</v>
      </c>
      <c r="B31" s="5" t="s">
        <v>31</v>
      </c>
      <c r="C31" s="5" t="s">
        <v>32</v>
      </c>
      <c r="D31" s="5">
        <v>16</v>
      </c>
      <c r="E31" s="5">
        <v>1800</v>
      </c>
      <c r="F31" s="5">
        <v>8050</v>
      </c>
      <c r="G31" s="5" t="s">
        <v>33</v>
      </c>
      <c r="H31" s="5">
        <v>1</v>
      </c>
      <c r="I31" s="40">
        <f t="shared" si="0"/>
        <v>1819.944</v>
      </c>
      <c r="J31" s="5" t="s">
        <v>34</v>
      </c>
      <c r="K31" s="32"/>
      <c r="L31" s="32"/>
      <c r="O31" s="33" t="s">
        <v>910</v>
      </c>
    </row>
    <row r="32" ht="22.5" customHeight="1" spans="1:15">
      <c r="A32" s="5">
        <v>27</v>
      </c>
      <c r="B32" s="5" t="s">
        <v>31</v>
      </c>
      <c r="C32" s="5" t="s">
        <v>32</v>
      </c>
      <c r="D32" s="5">
        <v>16</v>
      </c>
      <c r="E32" s="5">
        <v>1800</v>
      </c>
      <c r="F32" s="5">
        <v>8060</v>
      </c>
      <c r="G32" s="5" t="s">
        <v>33</v>
      </c>
      <c r="H32" s="5">
        <v>1</v>
      </c>
      <c r="I32" s="40">
        <f t="shared" si="0"/>
        <v>1822.2048</v>
      </c>
      <c r="J32" s="5" t="s">
        <v>12</v>
      </c>
      <c r="K32" s="32"/>
      <c r="L32" s="32"/>
      <c r="O32" s="33" t="s">
        <v>911</v>
      </c>
    </row>
    <row r="33" ht="22.5" customHeight="1" spans="1:15">
      <c r="A33" s="5">
        <v>28</v>
      </c>
      <c r="B33" s="5" t="s">
        <v>31</v>
      </c>
      <c r="C33" s="5" t="s">
        <v>32</v>
      </c>
      <c r="D33" s="5">
        <v>16</v>
      </c>
      <c r="E33" s="5">
        <v>1800</v>
      </c>
      <c r="F33" s="5">
        <v>8070</v>
      </c>
      <c r="G33" s="5" t="s">
        <v>33</v>
      </c>
      <c r="H33" s="5">
        <v>1</v>
      </c>
      <c r="I33" s="40">
        <f t="shared" si="0"/>
        <v>1824.4656</v>
      </c>
      <c r="J33" s="5" t="s">
        <v>34</v>
      </c>
      <c r="K33" s="32"/>
      <c r="L33" s="32"/>
      <c r="O33" s="33" t="s">
        <v>912</v>
      </c>
    </row>
    <row r="34" ht="22.5" customHeight="1" spans="1:15">
      <c r="A34" s="5">
        <v>29</v>
      </c>
      <c r="B34" s="5" t="s">
        <v>31</v>
      </c>
      <c r="C34" s="5" t="s">
        <v>32</v>
      </c>
      <c r="D34" s="5">
        <v>16</v>
      </c>
      <c r="E34" s="5">
        <v>1800</v>
      </c>
      <c r="F34" s="5">
        <v>8080</v>
      </c>
      <c r="G34" s="5" t="s">
        <v>33</v>
      </c>
      <c r="H34" s="5">
        <v>1</v>
      </c>
      <c r="I34" s="40">
        <f t="shared" si="0"/>
        <v>1826.7264</v>
      </c>
      <c r="J34" s="5" t="s">
        <v>34</v>
      </c>
      <c r="K34" s="32"/>
      <c r="L34" s="32"/>
      <c r="O34" s="33" t="s">
        <v>913</v>
      </c>
    </row>
    <row r="35" ht="22.5" customHeight="1" spans="1:15">
      <c r="A35" s="5">
        <v>30</v>
      </c>
      <c r="B35" s="5" t="s">
        <v>31</v>
      </c>
      <c r="C35" s="5" t="s">
        <v>32</v>
      </c>
      <c r="D35" s="5">
        <v>16</v>
      </c>
      <c r="E35" s="5">
        <v>1800</v>
      </c>
      <c r="F35" s="5">
        <v>8110</v>
      </c>
      <c r="G35" s="5" t="s">
        <v>33</v>
      </c>
      <c r="H35" s="5">
        <v>1</v>
      </c>
      <c r="I35" s="40">
        <f t="shared" si="0"/>
        <v>1833.5088</v>
      </c>
      <c r="J35" s="5" t="s">
        <v>34</v>
      </c>
      <c r="K35" s="32"/>
      <c r="L35" s="32"/>
      <c r="O35" s="33" t="s">
        <v>914</v>
      </c>
    </row>
    <row r="36" ht="22.5" customHeight="1" spans="1:15">
      <c r="A36" s="5">
        <v>31</v>
      </c>
      <c r="B36" s="5" t="s">
        <v>31</v>
      </c>
      <c r="C36" s="5" t="s">
        <v>32</v>
      </c>
      <c r="D36" s="5">
        <v>16</v>
      </c>
      <c r="E36" s="5">
        <v>1800</v>
      </c>
      <c r="F36" s="5">
        <v>8120</v>
      </c>
      <c r="G36" s="5" t="s">
        <v>33</v>
      </c>
      <c r="H36" s="5">
        <v>1</v>
      </c>
      <c r="I36" s="40">
        <f t="shared" si="0"/>
        <v>1835.7696</v>
      </c>
      <c r="J36" s="5" t="s">
        <v>12</v>
      </c>
      <c r="K36" s="32"/>
      <c r="L36" s="32"/>
      <c r="O36" s="33" t="s">
        <v>915</v>
      </c>
    </row>
    <row r="37" ht="22.5" customHeight="1" spans="1:15">
      <c r="A37" s="5">
        <v>32</v>
      </c>
      <c r="B37" s="5" t="s">
        <v>31</v>
      </c>
      <c r="C37" s="5" t="s">
        <v>32</v>
      </c>
      <c r="D37" s="5">
        <v>16</v>
      </c>
      <c r="E37" s="5">
        <v>1800</v>
      </c>
      <c r="F37" s="5">
        <v>8140</v>
      </c>
      <c r="G37" s="5" t="s">
        <v>33</v>
      </c>
      <c r="H37" s="5">
        <v>1</v>
      </c>
      <c r="I37" s="40">
        <f t="shared" si="0"/>
        <v>1840.2912</v>
      </c>
      <c r="J37" s="5" t="s">
        <v>34</v>
      </c>
      <c r="K37" s="32"/>
      <c r="L37" s="32"/>
      <c r="O37" s="33" t="s">
        <v>916</v>
      </c>
    </row>
    <row r="38" ht="22.5" customHeight="1" spans="1:15">
      <c r="A38" s="5">
        <v>33</v>
      </c>
      <c r="B38" s="5" t="s">
        <v>31</v>
      </c>
      <c r="C38" s="5" t="s">
        <v>32</v>
      </c>
      <c r="D38" s="5">
        <v>16</v>
      </c>
      <c r="E38" s="5">
        <v>1800</v>
      </c>
      <c r="F38" s="5">
        <v>8150</v>
      </c>
      <c r="G38" s="5" t="s">
        <v>33</v>
      </c>
      <c r="H38" s="5">
        <v>1</v>
      </c>
      <c r="I38" s="40">
        <f t="shared" si="0"/>
        <v>1842.552</v>
      </c>
      <c r="J38" s="5" t="s">
        <v>34</v>
      </c>
      <c r="K38" s="32"/>
      <c r="L38" s="32"/>
      <c r="O38" s="33" t="s">
        <v>917</v>
      </c>
    </row>
    <row r="39" ht="22.5" customHeight="1" spans="1:15">
      <c r="A39" s="5">
        <v>34</v>
      </c>
      <c r="B39" s="5" t="s">
        <v>31</v>
      </c>
      <c r="C39" s="5" t="s">
        <v>32</v>
      </c>
      <c r="D39" s="5">
        <v>16</v>
      </c>
      <c r="E39" s="5">
        <v>1800</v>
      </c>
      <c r="F39" s="5">
        <v>8190</v>
      </c>
      <c r="G39" s="5" t="s">
        <v>33</v>
      </c>
      <c r="H39" s="5">
        <v>1</v>
      </c>
      <c r="I39" s="40">
        <f t="shared" si="0"/>
        <v>1851.5952</v>
      </c>
      <c r="J39" s="5" t="s">
        <v>12</v>
      </c>
      <c r="K39" s="32"/>
      <c r="L39" s="32"/>
      <c r="O39" s="33" t="s">
        <v>918</v>
      </c>
    </row>
    <row r="40" ht="22.5" customHeight="1" spans="1:15">
      <c r="A40" s="5">
        <v>35</v>
      </c>
      <c r="B40" s="5" t="s">
        <v>31</v>
      </c>
      <c r="C40" s="5" t="s">
        <v>32</v>
      </c>
      <c r="D40" s="5">
        <v>16</v>
      </c>
      <c r="E40" s="5">
        <v>1800</v>
      </c>
      <c r="F40" s="5">
        <v>8330</v>
      </c>
      <c r="G40" s="5" t="s">
        <v>33</v>
      </c>
      <c r="H40" s="5">
        <v>1</v>
      </c>
      <c r="I40" s="40">
        <f t="shared" si="0"/>
        <v>1883.2464</v>
      </c>
      <c r="J40" s="5" t="s">
        <v>34</v>
      </c>
      <c r="K40" s="32"/>
      <c r="L40" s="32"/>
      <c r="O40" s="33" t="s">
        <v>919</v>
      </c>
    </row>
    <row r="41" ht="22.5" customHeight="1" spans="1:15">
      <c r="A41" s="5">
        <v>36</v>
      </c>
      <c r="B41" s="5" t="s">
        <v>31</v>
      </c>
      <c r="C41" s="5" t="s">
        <v>32</v>
      </c>
      <c r="D41" s="5">
        <v>16</v>
      </c>
      <c r="E41" s="5">
        <v>1800</v>
      </c>
      <c r="F41" s="5">
        <v>10000</v>
      </c>
      <c r="G41" s="5" t="s">
        <v>33</v>
      </c>
      <c r="H41" s="5">
        <v>1</v>
      </c>
      <c r="I41" s="40">
        <f t="shared" si="0"/>
        <v>2260.8</v>
      </c>
      <c r="J41" s="5" t="s">
        <v>12</v>
      </c>
      <c r="K41" s="32"/>
      <c r="L41" s="32"/>
      <c r="O41" s="33" t="s">
        <v>920</v>
      </c>
    </row>
    <row r="42" ht="22.5" customHeight="1" spans="1:15">
      <c r="A42" s="5">
        <v>37</v>
      </c>
      <c r="B42" s="5" t="s">
        <v>31</v>
      </c>
      <c r="C42" s="5" t="s">
        <v>32</v>
      </c>
      <c r="D42" s="5">
        <v>16</v>
      </c>
      <c r="E42" s="5">
        <v>1800</v>
      </c>
      <c r="F42" s="5">
        <v>11500</v>
      </c>
      <c r="G42" s="5" t="s">
        <v>33</v>
      </c>
      <c r="H42" s="5">
        <v>1</v>
      </c>
      <c r="I42" s="40">
        <f t="shared" si="0"/>
        <v>2599.92</v>
      </c>
      <c r="J42" s="5" t="s">
        <v>12</v>
      </c>
      <c r="K42" s="32"/>
      <c r="L42" s="32"/>
      <c r="O42" s="33" t="s">
        <v>921</v>
      </c>
    </row>
    <row r="43" ht="22.5" customHeight="1" spans="1:15">
      <c r="A43" s="5">
        <v>38</v>
      </c>
      <c r="B43" s="5" t="s">
        <v>31</v>
      </c>
      <c r="C43" s="5" t="s">
        <v>32</v>
      </c>
      <c r="D43" s="5">
        <v>16</v>
      </c>
      <c r="E43" s="5">
        <v>1800</v>
      </c>
      <c r="F43" s="5">
        <v>11730</v>
      </c>
      <c r="G43" s="5" t="s">
        <v>33</v>
      </c>
      <c r="H43" s="5">
        <v>1</v>
      </c>
      <c r="I43" s="40">
        <f t="shared" si="0"/>
        <v>2651.9184</v>
      </c>
      <c r="J43" s="5" t="s">
        <v>12</v>
      </c>
      <c r="K43" s="32"/>
      <c r="L43" s="32"/>
      <c r="O43" s="33" t="s">
        <v>922</v>
      </c>
    </row>
    <row r="44" ht="22.5" customHeight="1" spans="1:15">
      <c r="A44" s="5">
        <v>39</v>
      </c>
      <c r="B44" s="5" t="s">
        <v>31</v>
      </c>
      <c r="C44" s="5" t="s">
        <v>32</v>
      </c>
      <c r="D44" s="5">
        <v>16</v>
      </c>
      <c r="E44" s="5">
        <v>1800</v>
      </c>
      <c r="F44" s="5">
        <v>12090</v>
      </c>
      <c r="G44" s="5" t="s">
        <v>33</v>
      </c>
      <c r="H44" s="5">
        <v>1</v>
      </c>
      <c r="I44" s="40">
        <f t="shared" si="0"/>
        <v>2733.3072</v>
      </c>
      <c r="J44" s="5" t="s">
        <v>12</v>
      </c>
      <c r="K44" s="32"/>
      <c r="L44" s="32"/>
      <c r="O44" s="33" t="s">
        <v>923</v>
      </c>
    </row>
    <row r="45" ht="22.5" customHeight="1" spans="1:15">
      <c r="A45" s="5">
        <v>40</v>
      </c>
      <c r="B45" s="5" t="s">
        <v>31</v>
      </c>
      <c r="C45" s="5" t="s">
        <v>32</v>
      </c>
      <c r="D45" s="5">
        <v>16</v>
      </c>
      <c r="E45" s="5">
        <v>2000</v>
      </c>
      <c r="F45" s="5">
        <v>7340</v>
      </c>
      <c r="G45" s="5" t="s">
        <v>33</v>
      </c>
      <c r="H45" s="5">
        <v>1</v>
      </c>
      <c r="I45" s="40">
        <f t="shared" si="0"/>
        <v>1843.808</v>
      </c>
      <c r="J45" s="5" t="s">
        <v>11</v>
      </c>
      <c r="K45" s="32"/>
      <c r="L45" s="32"/>
      <c r="O45" s="33" t="s">
        <v>924</v>
      </c>
    </row>
    <row r="46" ht="22.5" customHeight="1" spans="1:15">
      <c r="A46" s="5">
        <v>41</v>
      </c>
      <c r="B46" s="5" t="s">
        <v>31</v>
      </c>
      <c r="C46" s="5" t="s">
        <v>32</v>
      </c>
      <c r="D46" s="5">
        <v>16</v>
      </c>
      <c r="E46" s="5">
        <v>2000</v>
      </c>
      <c r="F46" s="5">
        <v>7450</v>
      </c>
      <c r="G46" s="5" t="s">
        <v>33</v>
      </c>
      <c r="H46" s="5">
        <v>1</v>
      </c>
      <c r="I46" s="40">
        <f t="shared" si="0"/>
        <v>1871.44</v>
      </c>
      <c r="J46" s="5" t="s">
        <v>11</v>
      </c>
      <c r="K46" s="32"/>
      <c r="L46" s="32"/>
      <c r="O46" s="33" t="s">
        <v>925</v>
      </c>
    </row>
    <row r="47" ht="22.5" customHeight="1" spans="1:15">
      <c r="A47" s="5">
        <v>42</v>
      </c>
      <c r="B47" s="5" t="s">
        <v>31</v>
      </c>
      <c r="C47" s="5" t="s">
        <v>32</v>
      </c>
      <c r="D47" s="5">
        <v>16</v>
      </c>
      <c r="E47" s="5">
        <v>2000</v>
      </c>
      <c r="F47" s="5">
        <v>7470</v>
      </c>
      <c r="G47" s="5" t="s">
        <v>33</v>
      </c>
      <c r="H47" s="5">
        <v>1</v>
      </c>
      <c r="I47" s="40">
        <f t="shared" si="0"/>
        <v>1876.464</v>
      </c>
      <c r="J47" s="5" t="s">
        <v>11</v>
      </c>
      <c r="K47" s="32"/>
      <c r="L47" s="32"/>
      <c r="O47" s="33" t="s">
        <v>926</v>
      </c>
    </row>
    <row r="48" ht="22.5" customHeight="1" spans="1:15">
      <c r="A48" s="5">
        <v>43</v>
      </c>
      <c r="B48" s="5" t="s">
        <v>31</v>
      </c>
      <c r="C48" s="5" t="s">
        <v>32</v>
      </c>
      <c r="D48" s="5">
        <v>16</v>
      </c>
      <c r="E48" s="5">
        <v>2000</v>
      </c>
      <c r="F48" s="5">
        <v>7590</v>
      </c>
      <c r="G48" s="5" t="s">
        <v>33</v>
      </c>
      <c r="H48" s="5">
        <v>1</v>
      </c>
      <c r="I48" s="40">
        <f t="shared" si="0"/>
        <v>1906.608</v>
      </c>
      <c r="J48" s="5" t="s">
        <v>11</v>
      </c>
      <c r="K48" s="32"/>
      <c r="L48" s="32"/>
      <c r="O48" s="33" t="s">
        <v>927</v>
      </c>
    </row>
    <row r="49" ht="22.5" customHeight="1" spans="1:15">
      <c r="A49" s="5">
        <v>44</v>
      </c>
      <c r="B49" s="5" t="s">
        <v>31</v>
      </c>
      <c r="C49" s="5" t="s">
        <v>32</v>
      </c>
      <c r="D49" s="5">
        <v>16</v>
      </c>
      <c r="E49" s="5">
        <v>2000</v>
      </c>
      <c r="F49" s="5">
        <v>8000</v>
      </c>
      <c r="G49" s="5" t="s">
        <v>33</v>
      </c>
      <c r="H49" s="5">
        <v>1</v>
      </c>
      <c r="I49" s="40">
        <f t="shared" si="0"/>
        <v>2009.6</v>
      </c>
      <c r="J49" s="5" t="s">
        <v>11</v>
      </c>
      <c r="K49" s="32"/>
      <c r="L49" s="32"/>
      <c r="O49" s="33" t="s">
        <v>928</v>
      </c>
    </row>
    <row r="50" ht="22.5" customHeight="1" spans="1:15">
      <c r="A50" s="5">
        <v>45</v>
      </c>
      <c r="B50" s="5" t="s">
        <v>31</v>
      </c>
      <c r="C50" s="5" t="s">
        <v>32</v>
      </c>
      <c r="D50" s="5">
        <v>16</v>
      </c>
      <c r="E50" s="5">
        <v>2000</v>
      </c>
      <c r="F50" s="5">
        <v>8020</v>
      </c>
      <c r="G50" s="5" t="s">
        <v>33</v>
      </c>
      <c r="H50" s="5">
        <v>1</v>
      </c>
      <c r="I50" s="40">
        <f t="shared" si="0"/>
        <v>2014.624</v>
      </c>
      <c r="J50" s="5" t="s">
        <v>34</v>
      </c>
      <c r="K50" s="32"/>
      <c r="L50" s="32"/>
      <c r="O50" s="33" t="s">
        <v>929</v>
      </c>
    </row>
    <row r="51" ht="22.5" customHeight="1" spans="1:15">
      <c r="A51" s="5">
        <v>46</v>
      </c>
      <c r="B51" s="5" t="s">
        <v>31</v>
      </c>
      <c r="C51" s="5" t="s">
        <v>32</v>
      </c>
      <c r="D51" s="5">
        <v>16</v>
      </c>
      <c r="E51" s="5">
        <v>2000</v>
      </c>
      <c r="F51" s="5">
        <v>8090</v>
      </c>
      <c r="G51" s="5" t="s">
        <v>33</v>
      </c>
      <c r="H51" s="5">
        <v>1</v>
      </c>
      <c r="I51" s="40">
        <f t="shared" si="0"/>
        <v>2032.208</v>
      </c>
      <c r="J51" s="5" t="s">
        <v>34</v>
      </c>
      <c r="K51" s="32"/>
      <c r="L51" s="32"/>
      <c r="O51" s="33" t="s">
        <v>930</v>
      </c>
    </row>
    <row r="52" ht="22.5" customHeight="1" spans="1:15">
      <c r="A52" s="5">
        <v>47</v>
      </c>
      <c r="B52" s="5" t="s">
        <v>31</v>
      </c>
      <c r="C52" s="5" t="s">
        <v>32</v>
      </c>
      <c r="D52" s="5">
        <v>16</v>
      </c>
      <c r="E52" s="5">
        <v>2000</v>
      </c>
      <c r="F52" s="5">
        <v>10000</v>
      </c>
      <c r="G52" s="5" t="s">
        <v>33</v>
      </c>
      <c r="H52" s="5">
        <v>1</v>
      </c>
      <c r="I52" s="40">
        <f t="shared" si="0"/>
        <v>2512</v>
      </c>
      <c r="J52" s="5" t="s">
        <v>34</v>
      </c>
      <c r="K52" s="32"/>
      <c r="L52" s="32"/>
      <c r="M52">
        <f>SUM(I10:I52)</f>
        <v>96667.2864</v>
      </c>
      <c r="N52">
        <f>[17]Sheet2!$O$45</f>
        <v>96667.2864</v>
      </c>
      <c r="O52" s="33" t="s">
        <v>931</v>
      </c>
    </row>
    <row r="53" ht="22.5" customHeight="1" spans="1:12">
      <c r="A53" s="41" t="s">
        <v>40</v>
      </c>
      <c r="B53" s="42"/>
      <c r="C53" s="42"/>
      <c r="D53" s="42"/>
      <c r="E53" s="42"/>
      <c r="F53" s="42"/>
      <c r="G53" s="42"/>
      <c r="H53" s="43"/>
      <c r="I53" s="40">
        <f>SUM(I6:I52)</f>
        <v>102632.5014</v>
      </c>
      <c r="J53" s="5"/>
      <c r="K53" s="32">
        <v>101864.30668</v>
      </c>
      <c r="L53" s="32">
        <f>[7]Sheet3!$M$46</f>
        <v>95965.1824</v>
      </c>
    </row>
    <row r="54" ht="16.5" spans="1:12">
      <c r="A54" s="22" t="s">
        <v>41</v>
      </c>
      <c r="B54" s="22"/>
      <c r="C54" s="22"/>
      <c r="D54" s="22"/>
      <c r="E54" s="22"/>
      <c r="F54" s="22"/>
      <c r="G54" s="22"/>
      <c r="H54" s="22"/>
      <c r="I54" s="22"/>
      <c r="J54" s="22"/>
      <c r="K54">
        <f>[6]D桥估料表!$G$150</f>
        <v>125608.2077088</v>
      </c>
      <c r="L54">
        <v>125608.2077088</v>
      </c>
    </row>
    <row r="55" ht="16.5" spans="1:10">
      <c r="A55" s="22" t="s">
        <v>401</v>
      </c>
      <c r="B55" s="22"/>
      <c r="C55" s="22"/>
      <c r="D55" s="22"/>
      <c r="E55" s="22"/>
      <c r="F55" s="22"/>
      <c r="G55" s="22"/>
      <c r="H55" s="22"/>
      <c r="I55" s="22"/>
      <c r="J55" s="22"/>
    </row>
    <row r="56" ht="16.5" spans="1:10">
      <c r="A56" s="16" t="s">
        <v>74</v>
      </c>
      <c r="B56" s="17"/>
      <c r="C56" s="17"/>
      <c r="D56" s="17"/>
      <c r="E56" s="17"/>
      <c r="F56" s="17"/>
      <c r="G56" s="17"/>
      <c r="H56" s="17"/>
      <c r="I56" s="17"/>
      <c r="J56" s="17"/>
    </row>
  </sheetData>
  <autoFilter ref="A5:J56">
    <sortState ref="A5:J56">
      <sortCondition ref="E5"/>
    </sortState>
    <extLst/>
  </autoFilter>
  <mergeCells count="7">
    <mergeCell ref="A1:J1"/>
    <mergeCell ref="A2:J2"/>
    <mergeCell ref="A3:F3"/>
    <mergeCell ref="A53:H53"/>
    <mergeCell ref="A54:J54"/>
    <mergeCell ref="A55:J55"/>
    <mergeCell ref="A56:J56"/>
  </mergeCells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6"/>
  <dimension ref="A1:U45"/>
  <sheetViews>
    <sheetView topLeftCell="A16" workbookViewId="0">
      <selection activeCell="P1" sqref="P$1:X$1048576"/>
    </sheetView>
  </sheetViews>
  <sheetFormatPr defaultColWidth="9" defaultRowHeight="13.5"/>
  <cols>
    <col min="1" max="1" width="8.675" customWidth="1"/>
    <col min="2" max="2" width="8.25" customWidth="1"/>
    <col min="3" max="3" width="10.3416666666667" customWidth="1"/>
    <col min="4" max="4" width="8.625" customWidth="1"/>
    <col min="5" max="5" width="9.75" customWidth="1"/>
    <col min="6" max="6" width="8.125" customWidth="1"/>
    <col min="7" max="7" width="7.25" customWidth="1"/>
    <col min="8" max="8" width="6.375" customWidth="1"/>
    <col min="9" max="9" width="9.75" style="14" customWidth="1"/>
    <col min="10" max="10" width="9.125" customWidth="1"/>
    <col min="11" max="11" width="15.3416666666667" hidden="1" customWidth="1"/>
    <col min="12" max="12" width="12.625" hidden="1" customWidth="1"/>
    <col min="13" max="13" width="9" hidden="1" customWidth="1"/>
    <col min="14" max="15" width="11.5" hidden="1" customWidth="1"/>
    <col min="16" max="24" width="9" hidden="1" customWidth="1"/>
  </cols>
  <sheetData>
    <row r="1" ht="28.5" customHeight="1" spans="1:12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  <c r="K1" s="24"/>
      <c r="L1" s="24"/>
    </row>
    <row r="2" ht="28.5" customHeight="1" spans="1:12">
      <c r="A2" s="15" t="s">
        <v>20</v>
      </c>
      <c r="B2" s="15"/>
      <c r="C2" s="15"/>
      <c r="D2" s="15"/>
      <c r="E2" s="15"/>
      <c r="F2" s="15"/>
      <c r="G2" s="15"/>
      <c r="H2" s="15"/>
      <c r="I2" s="23"/>
      <c r="J2" s="15"/>
      <c r="K2" s="24"/>
      <c r="L2" s="24"/>
    </row>
    <row r="3" ht="22.5" customHeight="1" spans="1:12">
      <c r="A3" s="16" t="s">
        <v>21</v>
      </c>
      <c r="B3" s="17"/>
      <c r="C3" s="17"/>
      <c r="D3" s="17"/>
      <c r="E3" s="17"/>
      <c r="F3" s="17"/>
      <c r="G3" s="17"/>
      <c r="H3" s="17"/>
      <c r="I3" s="25"/>
      <c r="J3" s="26"/>
      <c r="K3" s="27"/>
      <c r="L3" s="27"/>
    </row>
    <row r="4" ht="22.5" customHeight="1" spans="1:12">
      <c r="A4" s="18" t="s">
        <v>932</v>
      </c>
      <c r="B4" s="19"/>
      <c r="C4" s="19"/>
      <c r="D4" s="17"/>
      <c r="E4" s="19"/>
      <c r="F4" s="19"/>
      <c r="G4" s="17"/>
      <c r="H4" s="17"/>
      <c r="I4" s="28"/>
      <c r="J4" s="26"/>
      <c r="K4" s="27"/>
      <c r="L4" s="27"/>
    </row>
    <row r="5" ht="22.5" customHeight="1" spans="1:12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29" t="s">
        <v>29</v>
      </c>
      <c r="J5" s="11" t="s">
        <v>30</v>
      </c>
      <c r="K5" s="30"/>
      <c r="L5" s="30"/>
    </row>
    <row r="6" ht="22.5" customHeight="1" spans="1:12">
      <c r="A6" s="5">
        <v>1</v>
      </c>
      <c r="B6" s="5" t="s">
        <v>31</v>
      </c>
      <c r="C6" s="39" t="s">
        <v>32</v>
      </c>
      <c r="D6" s="5">
        <v>12</v>
      </c>
      <c r="E6" s="5">
        <v>1500</v>
      </c>
      <c r="F6" s="5">
        <v>6500</v>
      </c>
      <c r="G6" s="5" t="s">
        <v>33</v>
      </c>
      <c r="H6" s="5">
        <v>1</v>
      </c>
      <c r="I6" s="40">
        <f>H6*F6*E6*D6*7.85/1000000</f>
        <v>918.45</v>
      </c>
      <c r="J6" s="5" t="s">
        <v>17</v>
      </c>
      <c r="K6" s="37" t="s">
        <v>933</v>
      </c>
      <c r="L6" s="8">
        <v>1</v>
      </c>
    </row>
    <row r="7" ht="22.5" customHeight="1" spans="1:12">
      <c r="A7" s="5">
        <v>2</v>
      </c>
      <c r="B7" s="5" t="s">
        <v>31</v>
      </c>
      <c r="C7" s="39" t="s">
        <v>32</v>
      </c>
      <c r="D7" s="5">
        <v>12</v>
      </c>
      <c r="E7" s="5">
        <v>1500</v>
      </c>
      <c r="F7" s="5">
        <v>7160</v>
      </c>
      <c r="G7" s="5" t="s">
        <v>33</v>
      </c>
      <c r="H7" s="5">
        <v>1</v>
      </c>
      <c r="I7" s="40">
        <f>H7*F7*E7*D7*7.85/1000000</f>
        <v>1011.708</v>
      </c>
      <c r="J7" s="39" t="s">
        <v>234</v>
      </c>
      <c r="K7" s="37" t="s">
        <v>934</v>
      </c>
      <c r="L7" s="8">
        <v>1</v>
      </c>
    </row>
    <row r="8" ht="22.5" customHeight="1" spans="1:12">
      <c r="A8" s="5">
        <v>3</v>
      </c>
      <c r="B8" s="5" t="s">
        <v>31</v>
      </c>
      <c r="C8" s="39" t="s">
        <v>32</v>
      </c>
      <c r="D8" s="5">
        <v>12</v>
      </c>
      <c r="E8" s="5">
        <f>1960+40</f>
        <v>2000</v>
      </c>
      <c r="F8" s="5">
        <v>5010</v>
      </c>
      <c r="G8" s="5" t="s">
        <v>33</v>
      </c>
      <c r="H8" s="5">
        <v>1</v>
      </c>
      <c r="I8" s="40">
        <f>H8*F8*E8*D8*7.85/1000000</f>
        <v>943.884</v>
      </c>
      <c r="J8" s="5" t="s">
        <v>16</v>
      </c>
      <c r="K8" s="37" t="s">
        <v>935</v>
      </c>
      <c r="L8" s="8">
        <v>1</v>
      </c>
    </row>
    <row r="9" ht="22.5" customHeight="1" spans="1:12">
      <c r="A9" s="5">
        <v>4</v>
      </c>
      <c r="B9" s="5" t="s">
        <v>31</v>
      </c>
      <c r="C9" s="39" t="s">
        <v>32</v>
      </c>
      <c r="D9" s="5">
        <v>12</v>
      </c>
      <c r="E9" s="5">
        <f>1960+40</f>
        <v>2000</v>
      </c>
      <c r="F9" s="5">
        <v>10020</v>
      </c>
      <c r="G9" s="5" t="s">
        <v>33</v>
      </c>
      <c r="H9" s="5">
        <v>1</v>
      </c>
      <c r="I9" s="40">
        <f>H9*F9*E9*D9*7.85/1000000</f>
        <v>1887.768</v>
      </c>
      <c r="J9" s="5" t="s">
        <v>16</v>
      </c>
      <c r="K9" s="37" t="s">
        <v>936</v>
      </c>
      <c r="L9" s="8">
        <v>1</v>
      </c>
    </row>
    <row r="10" ht="22.5" customHeight="1" spans="1:16">
      <c r="A10" s="5">
        <v>5</v>
      </c>
      <c r="B10" s="5" t="s">
        <v>31</v>
      </c>
      <c r="C10" s="39" t="s">
        <v>32</v>
      </c>
      <c r="D10" s="5">
        <v>16</v>
      </c>
      <c r="E10" s="5">
        <v>1500</v>
      </c>
      <c r="F10" s="5">
        <v>5130</v>
      </c>
      <c r="G10" s="5" t="s">
        <v>33</v>
      </c>
      <c r="H10" s="5">
        <v>1</v>
      </c>
      <c r="I10" s="40">
        <f t="shared" ref="I10:I41" si="0">H10*F10*E10*D10*7.85/1000000</f>
        <v>966.492</v>
      </c>
      <c r="J10" s="5" t="s">
        <v>34</v>
      </c>
      <c r="K10" s="32"/>
      <c r="L10" s="32"/>
      <c r="P10" s="33" t="s">
        <v>937</v>
      </c>
    </row>
    <row r="11" ht="22.5" customHeight="1" spans="1:16">
      <c r="A11" s="5">
        <v>6</v>
      </c>
      <c r="B11" s="5" t="s">
        <v>31</v>
      </c>
      <c r="C11" s="39" t="s">
        <v>32</v>
      </c>
      <c r="D11" s="5">
        <v>16</v>
      </c>
      <c r="E11" s="5">
        <v>1500</v>
      </c>
      <c r="F11" s="5">
        <v>7410</v>
      </c>
      <c r="G11" s="5" t="s">
        <v>33</v>
      </c>
      <c r="H11" s="5">
        <v>1</v>
      </c>
      <c r="I11" s="40">
        <f t="shared" si="0"/>
        <v>1396.044</v>
      </c>
      <c r="J11" s="5" t="s">
        <v>11</v>
      </c>
      <c r="K11" s="32"/>
      <c r="L11" s="32"/>
      <c r="P11" s="33" t="s">
        <v>938</v>
      </c>
    </row>
    <row r="12" ht="22.5" customHeight="1" spans="1:21">
      <c r="A12" s="5">
        <v>7</v>
      </c>
      <c r="B12" s="5" t="s">
        <v>31</v>
      </c>
      <c r="C12" s="39" t="s">
        <v>32</v>
      </c>
      <c r="D12" s="5">
        <v>16</v>
      </c>
      <c r="E12" s="5">
        <v>1500</v>
      </c>
      <c r="F12" s="5">
        <v>7420</v>
      </c>
      <c r="G12" s="5" t="s">
        <v>33</v>
      </c>
      <c r="H12" s="5">
        <v>6</v>
      </c>
      <c r="I12" s="40">
        <f t="shared" si="0"/>
        <v>8387.568</v>
      </c>
      <c r="J12" s="5" t="s">
        <v>11</v>
      </c>
      <c r="K12" s="32"/>
      <c r="L12" s="32"/>
      <c r="P12" s="33" t="s">
        <v>939</v>
      </c>
      <c r="Q12" s="33" t="s">
        <v>940</v>
      </c>
      <c r="R12" s="33" t="s">
        <v>941</v>
      </c>
      <c r="S12" s="33" t="s">
        <v>942</v>
      </c>
      <c r="T12" s="33" t="s">
        <v>943</v>
      </c>
      <c r="U12" s="33" t="s">
        <v>944</v>
      </c>
    </row>
    <row r="13" ht="22.5" customHeight="1" spans="1:16">
      <c r="A13" s="5">
        <v>8</v>
      </c>
      <c r="B13" s="5" t="s">
        <v>31</v>
      </c>
      <c r="C13" s="39" t="s">
        <v>32</v>
      </c>
      <c r="D13" s="5">
        <v>16</v>
      </c>
      <c r="E13" s="5">
        <v>1500</v>
      </c>
      <c r="F13" s="5">
        <v>7440</v>
      </c>
      <c r="G13" s="5" t="s">
        <v>33</v>
      </c>
      <c r="H13" s="5">
        <v>1</v>
      </c>
      <c r="I13" s="40">
        <f t="shared" si="0"/>
        <v>1401.696</v>
      </c>
      <c r="J13" s="5" t="s">
        <v>11</v>
      </c>
      <c r="K13" s="32"/>
      <c r="L13" s="32"/>
      <c r="P13" s="33" t="s">
        <v>945</v>
      </c>
    </row>
    <row r="14" ht="22.5" customHeight="1" spans="1:16">
      <c r="A14" s="5">
        <v>9</v>
      </c>
      <c r="B14" s="5" t="s">
        <v>31</v>
      </c>
      <c r="C14" s="39" t="s">
        <v>32</v>
      </c>
      <c r="D14" s="5">
        <v>16</v>
      </c>
      <c r="E14" s="5">
        <v>1500</v>
      </c>
      <c r="F14" s="5">
        <v>7470</v>
      </c>
      <c r="G14" s="5" t="s">
        <v>33</v>
      </c>
      <c r="H14" s="5">
        <v>1</v>
      </c>
      <c r="I14" s="40">
        <f t="shared" si="0"/>
        <v>1407.348</v>
      </c>
      <c r="J14" s="5" t="s">
        <v>11</v>
      </c>
      <c r="K14" s="32"/>
      <c r="L14" s="32"/>
      <c r="P14" s="33" t="s">
        <v>946</v>
      </c>
    </row>
    <row r="15" ht="22.5" customHeight="1" spans="1:17">
      <c r="A15" s="5">
        <v>10</v>
      </c>
      <c r="B15" s="5" t="s">
        <v>31</v>
      </c>
      <c r="C15" s="39" t="s">
        <v>32</v>
      </c>
      <c r="D15" s="5">
        <v>16</v>
      </c>
      <c r="E15" s="5">
        <v>1500</v>
      </c>
      <c r="F15" s="5">
        <v>8020</v>
      </c>
      <c r="G15" s="5" t="s">
        <v>33</v>
      </c>
      <c r="H15" s="5">
        <v>2</v>
      </c>
      <c r="I15" s="40">
        <f t="shared" si="0"/>
        <v>3021.936</v>
      </c>
      <c r="J15" s="5" t="s">
        <v>34</v>
      </c>
      <c r="K15" s="32"/>
      <c r="L15" s="32"/>
      <c r="P15" s="33" t="s">
        <v>947</v>
      </c>
      <c r="Q15" s="33" t="s">
        <v>948</v>
      </c>
    </row>
    <row r="16" ht="22.5" customHeight="1" spans="1:16">
      <c r="A16" s="5">
        <v>11</v>
      </c>
      <c r="B16" s="5" t="s">
        <v>31</v>
      </c>
      <c r="C16" s="39" t="s">
        <v>32</v>
      </c>
      <c r="D16" s="5">
        <v>16</v>
      </c>
      <c r="E16" s="5">
        <v>1500</v>
      </c>
      <c r="F16" s="5">
        <v>8030</v>
      </c>
      <c r="G16" s="5" t="s">
        <v>33</v>
      </c>
      <c r="H16" s="5">
        <v>1</v>
      </c>
      <c r="I16" s="40">
        <f t="shared" si="0"/>
        <v>1512.852</v>
      </c>
      <c r="J16" s="5" t="s">
        <v>34</v>
      </c>
      <c r="K16" s="32"/>
      <c r="L16" s="32"/>
      <c r="P16" s="33" t="s">
        <v>949</v>
      </c>
    </row>
    <row r="17" ht="22.5" customHeight="1" spans="1:16">
      <c r="A17" s="5">
        <v>12</v>
      </c>
      <c r="B17" s="5" t="s">
        <v>31</v>
      </c>
      <c r="C17" s="39" t="s">
        <v>32</v>
      </c>
      <c r="D17" s="5">
        <v>16</v>
      </c>
      <c r="E17" s="5">
        <v>1500</v>
      </c>
      <c r="F17" s="5">
        <v>8230</v>
      </c>
      <c r="G17" s="5" t="s">
        <v>33</v>
      </c>
      <c r="H17" s="5">
        <v>1</v>
      </c>
      <c r="I17" s="40">
        <f t="shared" si="0"/>
        <v>1550.532</v>
      </c>
      <c r="J17" s="5" t="s">
        <v>34</v>
      </c>
      <c r="K17" s="32"/>
      <c r="L17" s="32"/>
      <c r="P17" s="33" t="s">
        <v>950</v>
      </c>
    </row>
    <row r="18" ht="22.5" customHeight="1" spans="1:16">
      <c r="A18" s="5">
        <v>13</v>
      </c>
      <c r="B18" s="5" t="s">
        <v>31</v>
      </c>
      <c r="C18" s="39" t="s">
        <v>32</v>
      </c>
      <c r="D18" s="5">
        <v>16</v>
      </c>
      <c r="E18" s="5">
        <v>1500</v>
      </c>
      <c r="F18" s="5">
        <v>9640</v>
      </c>
      <c r="G18" s="5" t="s">
        <v>33</v>
      </c>
      <c r="H18" s="5">
        <v>1</v>
      </c>
      <c r="I18" s="40">
        <f t="shared" si="0"/>
        <v>1816.176</v>
      </c>
      <c r="J18" s="5" t="s">
        <v>11</v>
      </c>
      <c r="K18" s="32"/>
      <c r="L18" s="32"/>
      <c r="P18" s="33" t="s">
        <v>951</v>
      </c>
    </row>
    <row r="19" ht="22.5" customHeight="1" spans="1:18">
      <c r="A19" s="5">
        <v>14</v>
      </c>
      <c r="B19" s="5" t="s">
        <v>31</v>
      </c>
      <c r="C19" s="39" t="s">
        <v>32</v>
      </c>
      <c r="D19" s="5">
        <v>16</v>
      </c>
      <c r="E19" s="5">
        <v>1500</v>
      </c>
      <c r="F19" s="5">
        <v>9700</v>
      </c>
      <c r="G19" s="5" t="s">
        <v>33</v>
      </c>
      <c r="H19" s="5">
        <v>3</v>
      </c>
      <c r="I19" s="40">
        <f t="shared" si="0"/>
        <v>5482.44</v>
      </c>
      <c r="J19" s="5" t="s">
        <v>11</v>
      </c>
      <c r="K19" s="32"/>
      <c r="L19" s="32"/>
      <c r="P19" s="33" t="s">
        <v>952</v>
      </c>
      <c r="Q19" s="33" t="s">
        <v>953</v>
      </c>
      <c r="R19" s="33" t="s">
        <v>954</v>
      </c>
    </row>
    <row r="20" ht="22.5" customHeight="1" spans="1:16">
      <c r="A20" s="5">
        <v>15</v>
      </c>
      <c r="B20" s="5" t="s">
        <v>31</v>
      </c>
      <c r="C20" s="39" t="s">
        <v>32</v>
      </c>
      <c r="D20" s="5">
        <v>16</v>
      </c>
      <c r="E20" s="5">
        <v>1500</v>
      </c>
      <c r="F20" s="5">
        <v>10000</v>
      </c>
      <c r="G20" s="5" t="s">
        <v>33</v>
      </c>
      <c r="H20" s="5">
        <v>1</v>
      </c>
      <c r="I20" s="40">
        <f t="shared" si="0"/>
        <v>1884</v>
      </c>
      <c r="J20" s="5" t="s">
        <v>34</v>
      </c>
      <c r="K20" s="32"/>
      <c r="L20" s="32"/>
      <c r="P20" s="33" t="s">
        <v>955</v>
      </c>
    </row>
    <row r="21" ht="22.5" customHeight="1" spans="1:16">
      <c r="A21" s="5">
        <v>16</v>
      </c>
      <c r="B21" s="5" t="s">
        <v>31</v>
      </c>
      <c r="C21" s="39" t="s">
        <v>32</v>
      </c>
      <c r="D21" s="5">
        <v>16</v>
      </c>
      <c r="E21" s="5">
        <v>1500</v>
      </c>
      <c r="F21" s="5">
        <v>12230</v>
      </c>
      <c r="G21" s="5" t="s">
        <v>33</v>
      </c>
      <c r="H21" s="5">
        <v>1</v>
      </c>
      <c r="I21" s="40">
        <f t="shared" si="0"/>
        <v>2304.132</v>
      </c>
      <c r="J21" s="5" t="s">
        <v>11</v>
      </c>
      <c r="K21" s="32"/>
      <c r="L21" s="32"/>
      <c r="P21" s="33" t="s">
        <v>956</v>
      </c>
    </row>
    <row r="22" ht="22.5" customHeight="1" spans="1:17">
      <c r="A22" s="5">
        <v>17</v>
      </c>
      <c r="B22" s="5" t="s">
        <v>31</v>
      </c>
      <c r="C22" s="39" t="s">
        <v>32</v>
      </c>
      <c r="D22" s="5">
        <v>16</v>
      </c>
      <c r="E22" s="5">
        <v>1800</v>
      </c>
      <c r="F22" s="5">
        <v>7340</v>
      </c>
      <c r="G22" s="5" t="s">
        <v>33</v>
      </c>
      <c r="H22" s="5">
        <v>2</v>
      </c>
      <c r="I22" s="40">
        <f t="shared" si="0"/>
        <v>3318.8544</v>
      </c>
      <c r="J22" s="5" t="s">
        <v>11</v>
      </c>
      <c r="K22" s="32"/>
      <c r="L22" s="32"/>
      <c r="P22" s="33" t="s">
        <v>957</v>
      </c>
      <c r="Q22" s="33" t="s">
        <v>958</v>
      </c>
    </row>
    <row r="23" ht="22.5" customHeight="1" spans="1:16">
      <c r="A23" s="5">
        <v>18</v>
      </c>
      <c r="B23" s="5" t="s">
        <v>31</v>
      </c>
      <c r="C23" s="39" t="s">
        <v>32</v>
      </c>
      <c r="D23" s="5">
        <v>16</v>
      </c>
      <c r="E23" s="5">
        <v>1800</v>
      </c>
      <c r="F23" s="5">
        <v>7520</v>
      </c>
      <c r="G23" s="5" t="s">
        <v>33</v>
      </c>
      <c r="H23" s="5">
        <v>1</v>
      </c>
      <c r="I23" s="40">
        <f t="shared" si="0"/>
        <v>1700.1216</v>
      </c>
      <c r="J23" s="5" t="s">
        <v>11</v>
      </c>
      <c r="K23" s="32"/>
      <c r="L23" s="32"/>
      <c r="P23" s="33" t="s">
        <v>959</v>
      </c>
    </row>
    <row r="24" ht="22.5" customHeight="1" spans="1:16">
      <c r="A24" s="5">
        <v>19</v>
      </c>
      <c r="B24" s="5" t="s">
        <v>31</v>
      </c>
      <c r="C24" s="39" t="s">
        <v>32</v>
      </c>
      <c r="D24" s="5">
        <v>16</v>
      </c>
      <c r="E24" s="5">
        <v>1800</v>
      </c>
      <c r="F24" s="5">
        <v>7620</v>
      </c>
      <c r="G24" s="5" t="s">
        <v>33</v>
      </c>
      <c r="H24" s="5">
        <v>1</v>
      </c>
      <c r="I24" s="40">
        <f t="shared" si="0"/>
        <v>1722.7296</v>
      </c>
      <c r="J24" s="5" t="s">
        <v>12</v>
      </c>
      <c r="K24" s="32"/>
      <c r="L24" s="32"/>
      <c r="P24" s="33" t="s">
        <v>960</v>
      </c>
    </row>
    <row r="25" ht="22.5" customHeight="1" spans="1:16">
      <c r="A25" s="5">
        <v>20</v>
      </c>
      <c r="B25" s="5" t="s">
        <v>31</v>
      </c>
      <c r="C25" s="39" t="s">
        <v>32</v>
      </c>
      <c r="D25" s="5">
        <v>16</v>
      </c>
      <c r="E25" s="5">
        <v>1800</v>
      </c>
      <c r="F25" s="5">
        <v>7630</v>
      </c>
      <c r="G25" s="5" t="s">
        <v>33</v>
      </c>
      <c r="H25" s="5">
        <v>1</v>
      </c>
      <c r="I25" s="40">
        <f t="shared" si="0"/>
        <v>1724.9904</v>
      </c>
      <c r="J25" s="5" t="s">
        <v>12</v>
      </c>
      <c r="K25" s="32"/>
      <c r="L25" s="32"/>
      <c r="P25" s="33" t="s">
        <v>961</v>
      </c>
    </row>
    <row r="26" ht="22.5" customHeight="1" spans="1:16">
      <c r="A26" s="5">
        <v>21</v>
      </c>
      <c r="B26" s="5" t="s">
        <v>31</v>
      </c>
      <c r="C26" s="39" t="s">
        <v>32</v>
      </c>
      <c r="D26" s="5">
        <v>16</v>
      </c>
      <c r="E26" s="5">
        <v>1800</v>
      </c>
      <c r="F26" s="5">
        <v>7810</v>
      </c>
      <c r="G26" s="5" t="s">
        <v>33</v>
      </c>
      <c r="H26" s="5">
        <v>1</v>
      </c>
      <c r="I26" s="40">
        <f t="shared" si="0"/>
        <v>1765.6848</v>
      </c>
      <c r="J26" s="5" t="s">
        <v>11</v>
      </c>
      <c r="K26" s="32"/>
      <c r="L26" s="32"/>
      <c r="P26" s="33" t="s">
        <v>962</v>
      </c>
    </row>
    <row r="27" ht="22.5" customHeight="1" spans="1:16">
      <c r="A27" s="5">
        <v>22</v>
      </c>
      <c r="B27" s="5" t="s">
        <v>31</v>
      </c>
      <c r="C27" s="39" t="s">
        <v>32</v>
      </c>
      <c r="D27" s="5">
        <v>16</v>
      </c>
      <c r="E27" s="5">
        <v>1800</v>
      </c>
      <c r="F27" s="5">
        <v>8020</v>
      </c>
      <c r="G27" s="5" t="s">
        <v>33</v>
      </c>
      <c r="H27" s="5">
        <v>1</v>
      </c>
      <c r="I27" s="40">
        <f t="shared" si="0"/>
        <v>1813.1616</v>
      </c>
      <c r="J27" s="5" t="s">
        <v>12</v>
      </c>
      <c r="K27" s="32"/>
      <c r="L27" s="32"/>
      <c r="P27" s="33" t="s">
        <v>963</v>
      </c>
    </row>
    <row r="28" ht="22.5" customHeight="1" spans="1:16">
      <c r="A28" s="5">
        <v>23</v>
      </c>
      <c r="B28" s="5" t="s">
        <v>31</v>
      </c>
      <c r="C28" s="39" t="s">
        <v>32</v>
      </c>
      <c r="D28" s="5">
        <v>16</v>
      </c>
      <c r="E28" s="5">
        <v>1800</v>
      </c>
      <c r="F28" s="5">
        <v>8030</v>
      </c>
      <c r="G28" s="5" t="s">
        <v>33</v>
      </c>
      <c r="H28" s="5">
        <v>1</v>
      </c>
      <c r="I28" s="40">
        <f t="shared" si="0"/>
        <v>1815.4224</v>
      </c>
      <c r="J28" s="5" t="s">
        <v>12</v>
      </c>
      <c r="K28" s="32"/>
      <c r="L28" s="32"/>
      <c r="P28" s="33" t="s">
        <v>964</v>
      </c>
    </row>
    <row r="29" ht="22.5" customHeight="1" spans="1:16">
      <c r="A29" s="5">
        <v>24</v>
      </c>
      <c r="B29" s="5" t="s">
        <v>31</v>
      </c>
      <c r="C29" s="39" t="s">
        <v>32</v>
      </c>
      <c r="D29" s="5">
        <v>16</v>
      </c>
      <c r="E29" s="5">
        <v>1800</v>
      </c>
      <c r="F29" s="5">
        <v>8090</v>
      </c>
      <c r="G29" s="5" t="s">
        <v>33</v>
      </c>
      <c r="H29" s="5">
        <v>1</v>
      </c>
      <c r="I29" s="40">
        <f t="shared" si="0"/>
        <v>1828.9872</v>
      </c>
      <c r="J29" s="5" t="s">
        <v>34</v>
      </c>
      <c r="K29" s="32"/>
      <c r="L29" s="32"/>
      <c r="P29" s="33" t="s">
        <v>965</v>
      </c>
    </row>
    <row r="30" ht="22.5" customHeight="1" spans="1:16">
      <c r="A30" s="5">
        <v>25</v>
      </c>
      <c r="B30" s="5" t="s">
        <v>31</v>
      </c>
      <c r="C30" s="39" t="s">
        <v>32</v>
      </c>
      <c r="D30" s="5">
        <v>16</v>
      </c>
      <c r="E30" s="5">
        <v>1800</v>
      </c>
      <c r="F30" s="5">
        <v>8100</v>
      </c>
      <c r="G30" s="5" t="s">
        <v>33</v>
      </c>
      <c r="H30" s="5">
        <v>1</v>
      </c>
      <c r="I30" s="40">
        <f t="shared" si="0"/>
        <v>1831.248</v>
      </c>
      <c r="J30" s="5" t="s">
        <v>34</v>
      </c>
      <c r="K30" s="32"/>
      <c r="L30" s="32"/>
      <c r="P30" s="33" t="s">
        <v>966</v>
      </c>
    </row>
    <row r="31" ht="22.5" customHeight="1" spans="1:16">
      <c r="A31" s="5">
        <v>26</v>
      </c>
      <c r="B31" s="5" t="s">
        <v>31</v>
      </c>
      <c r="C31" s="39" t="s">
        <v>32</v>
      </c>
      <c r="D31" s="5">
        <v>16</v>
      </c>
      <c r="E31" s="5">
        <v>1800</v>
      </c>
      <c r="F31" s="5">
        <v>8310</v>
      </c>
      <c r="G31" s="5" t="s">
        <v>33</v>
      </c>
      <c r="H31" s="5">
        <v>1</v>
      </c>
      <c r="I31" s="40">
        <f t="shared" si="0"/>
        <v>1878.7248</v>
      </c>
      <c r="J31" s="5" t="s">
        <v>12</v>
      </c>
      <c r="K31" s="32"/>
      <c r="L31" s="32"/>
      <c r="P31" s="33" t="s">
        <v>967</v>
      </c>
    </row>
    <row r="32" ht="22.5" customHeight="1" spans="1:16">
      <c r="A32" s="5">
        <v>27</v>
      </c>
      <c r="B32" s="5" t="s">
        <v>31</v>
      </c>
      <c r="C32" s="39" t="s">
        <v>32</v>
      </c>
      <c r="D32" s="5">
        <v>16</v>
      </c>
      <c r="E32" s="5">
        <v>1800</v>
      </c>
      <c r="F32" s="5">
        <v>10000</v>
      </c>
      <c r="G32" s="5" t="s">
        <v>33</v>
      </c>
      <c r="H32" s="5">
        <v>1</v>
      </c>
      <c r="I32" s="40">
        <f t="shared" si="0"/>
        <v>2260.8</v>
      </c>
      <c r="J32" s="5" t="s">
        <v>12</v>
      </c>
      <c r="K32" s="32"/>
      <c r="L32" s="32"/>
      <c r="P32" s="33" t="s">
        <v>968</v>
      </c>
    </row>
    <row r="33" ht="22.5" customHeight="1" spans="1:16">
      <c r="A33" s="5">
        <v>28</v>
      </c>
      <c r="B33" s="5" t="s">
        <v>31</v>
      </c>
      <c r="C33" s="39" t="s">
        <v>32</v>
      </c>
      <c r="D33" s="5">
        <v>16</v>
      </c>
      <c r="E33" s="5">
        <v>1800</v>
      </c>
      <c r="F33" s="5">
        <v>10040</v>
      </c>
      <c r="G33" s="5" t="s">
        <v>33</v>
      </c>
      <c r="H33" s="5">
        <v>1</v>
      </c>
      <c r="I33" s="40">
        <f t="shared" si="0"/>
        <v>2269.8432</v>
      </c>
      <c r="J33" s="5" t="s">
        <v>12</v>
      </c>
      <c r="K33" s="32"/>
      <c r="L33" s="32"/>
      <c r="P33" s="33" t="s">
        <v>969</v>
      </c>
    </row>
    <row r="34" ht="22.5" customHeight="1" spans="1:16">
      <c r="A34" s="5">
        <v>29</v>
      </c>
      <c r="B34" s="5" t="s">
        <v>31</v>
      </c>
      <c r="C34" s="39" t="s">
        <v>32</v>
      </c>
      <c r="D34" s="5">
        <v>16</v>
      </c>
      <c r="E34" s="5">
        <v>1800</v>
      </c>
      <c r="F34" s="5">
        <v>11280</v>
      </c>
      <c r="G34" s="5" t="s">
        <v>33</v>
      </c>
      <c r="H34" s="5">
        <v>1</v>
      </c>
      <c r="I34" s="40">
        <f t="shared" si="0"/>
        <v>2550.1824</v>
      </c>
      <c r="J34" s="5" t="s">
        <v>12</v>
      </c>
      <c r="K34" s="32"/>
      <c r="L34" s="32"/>
      <c r="P34" s="33" t="s">
        <v>970</v>
      </c>
    </row>
    <row r="35" ht="22.5" customHeight="1" spans="1:16">
      <c r="A35" s="5">
        <v>30</v>
      </c>
      <c r="B35" s="5" t="s">
        <v>31</v>
      </c>
      <c r="C35" s="39" t="s">
        <v>32</v>
      </c>
      <c r="D35" s="5">
        <v>16</v>
      </c>
      <c r="E35" s="5">
        <v>1800</v>
      </c>
      <c r="F35" s="5">
        <v>11800</v>
      </c>
      <c r="G35" s="5" t="s">
        <v>33</v>
      </c>
      <c r="H35" s="5">
        <v>1</v>
      </c>
      <c r="I35" s="40">
        <f t="shared" si="0"/>
        <v>2667.744</v>
      </c>
      <c r="J35" s="5" t="s">
        <v>12</v>
      </c>
      <c r="K35" s="32"/>
      <c r="L35" s="32"/>
      <c r="P35" s="33" t="s">
        <v>971</v>
      </c>
    </row>
    <row r="36" ht="22.5" customHeight="1" spans="1:16">
      <c r="A36" s="5">
        <v>31</v>
      </c>
      <c r="B36" s="5" t="s">
        <v>31</v>
      </c>
      <c r="C36" s="39" t="s">
        <v>32</v>
      </c>
      <c r="D36" s="5">
        <v>16</v>
      </c>
      <c r="E36" s="5">
        <v>2000</v>
      </c>
      <c r="F36" s="5">
        <v>7370</v>
      </c>
      <c r="G36" s="5" t="s">
        <v>33</v>
      </c>
      <c r="H36" s="5">
        <v>1</v>
      </c>
      <c r="I36" s="40">
        <f t="shared" si="0"/>
        <v>1851.344</v>
      </c>
      <c r="J36" s="5" t="s">
        <v>11</v>
      </c>
      <c r="K36" s="32"/>
      <c r="L36" s="32"/>
      <c r="P36" s="33" t="s">
        <v>972</v>
      </c>
    </row>
    <row r="37" ht="22.5" customHeight="1" spans="1:16">
      <c r="A37" s="5">
        <v>32</v>
      </c>
      <c r="B37" s="5" t="s">
        <v>31</v>
      </c>
      <c r="C37" s="39" t="s">
        <v>32</v>
      </c>
      <c r="D37" s="5">
        <v>16</v>
      </c>
      <c r="E37" s="5">
        <v>2000</v>
      </c>
      <c r="F37" s="5">
        <v>7770</v>
      </c>
      <c r="G37" s="5" t="s">
        <v>33</v>
      </c>
      <c r="H37" s="5">
        <v>1</v>
      </c>
      <c r="I37" s="40">
        <f t="shared" si="0"/>
        <v>1951.824</v>
      </c>
      <c r="J37" s="5" t="s">
        <v>11</v>
      </c>
      <c r="K37" s="32"/>
      <c r="L37" s="32"/>
      <c r="P37" s="33" t="s">
        <v>973</v>
      </c>
    </row>
    <row r="38" ht="22.5" customHeight="1" spans="1:16">
      <c r="A38" s="5">
        <v>33</v>
      </c>
      <c r="B38" s="5" t="s">
        <v>31</v>
      </c>
      <c r="C38" s="39" t="s">
        <v>32</v>
      </c>
      <c r="D38" s="5">
        <v>16</v>
      </c>
      <c r="E38" s="5">
        <v>2000</v>
      </c>
      <c r="F38" s="5">
        <v>7780</v>
      </c>
      <c r="G38" s="5" t="s">
        <v>33</v>
      </c>
      <c r="H38" s="5">
        <v>1</v>
      </c>
      <c r="I38" s="40">
        <f t="shared" si="0"/>
        <v>1954.336</v>
      </c>
      <c r="J38" s="5" t="s">
        <v>11</v>
      </c>
      <c r="K38" s="32"/>
      <c r="L38" s="32"/>
      <c r="P38" s="33" t="s">
        <v>974</v>
      </c>
    </row>
    <row r="39" ht="22.5" customHeight="1" spans="1:16">
      <c r="A39" s="5">
        <v>34</v>
      </c>
      <c r="B39" s="5" t="s">
        <v>31</v>
      </c>
      <c r="C39" s="39" t="s">
        <v>32</v>
      </c>
      <c r="D39" s="5">
        <v>16</v>
      </c>
      <c r="E39" s="5">
        <v>2000</v>
      </c>
      <c r="F39" s="5">
        <v>8030</v>
      </c>
      <c r="G39" s="5" t="s">
        <v>33</v>
      </c>
      <c r="H39" s="5">
        <v>1</v>
      </c>
      <c r="I39" s="40">
        <f t="shared" si="0"/>
        <v>2017.136</v>
      </c>
      <c r="J39" s="5" t="s">
        <v>34</v>
      </c>
      <c r="K39" s="32"/>
      <c r="L39" s="32"/>
      <c r="P39" s="33" t="s">
        <v>975</v>
      </c>
    </row>
    <row r="40" ht="22.5" customHeight="1" spans="1:17">
      <c r="A40" s="5">
        <v>35</v>
      </c>
      <c r="B40" s="5" t="s">
        <v>31</v>
      </c>
      <c r="C40" s="39" t="s">
        <v>32</v>
      </c>
      <c r="D40" s="5">
        <v>16</v>
      </c>
      <c r="E40" s="5">
        <v>2000</v>
      </c>
      <c r="F40" s="5">
        <v>8210</v>
      </c>
      <c r="G40" s="5" t="s">
        <v>33</v>
      </c>
      <c r="H40" s="5">
        <v>2</v>
      </c>
      <c r="I40" s="40">
        <f t="shared" si="0"/>
        <v>4124.704</v>
      </c>
      <c r="J40" s="5" t="s">
        <v>34</v>
      </c>
      <c r="K40" s="32"/>
      <c r="L40" s="32"/>
      <c r="P40" s="33" t="s">
        <v>976</v>
      </c>
      <c r="Q40" s="33" t="s">
        <v>977</v>
      </c>
    </row>
    <row r="41" ht="22.5" customHeight="1" spans="1:16">
      <c r="A41" s="5">
        <v>36</v>
      </c>
      <c r="B41" s="5" t="s">
        <v>31</v>
      </c>
      <c r="C41" s="39" t="s">
        <v>32</v>
      </c>
      <c r="D41" s="5">
        <v>16</v>
      </c>
      <c r="E41" s="5">
        <v>2000</v>
      </c>
      <c r="F41" s="5">
        <v>10000</v>
      </c>
      <c r="G41" s="5" t="s">
        <v>33</v>
      </c>
      <c r="H41" s="5">
        <v>1</v>
      </c>
      <c r="I41" s="40">
        <f t="shared" si="0"/>
        <v>2512</v>
      </c>
      <c r="J41" s="5" t="s">
        <v>34</v>
      </c>
      <c r="K41" s="32"/>
      <c r="L41" s="32"/>
      <c r="N41">
        <f>SUM(I10:I41)</f>
        <v>74691.0544</v>
      </c>
      <c r="O41">
        <f>[18]Sheet2!$O$34</f>
        <v>74691.0544</v>
      </c>
      <c r="P41" s="33" t="s">
        <v>978</v>
      </c>
    </row>
    <row r="42" ht="16.5" spans="1:12">
      <c r="A42" s="5" t="s">
        <v>40</v>
      </c>
      <c r="B42" s="5"/>
      <c r="C42" s="5"/>
      <c r="D42" s="5"/>
      <c r="E42" s="5"/>
      <c r="F42" s="5"/>
      <c r="G42" s="5"/>
      <c r="H42" s="5"/>
      <c r="I42" s="34">
        <f>SUM(I6:I41)</f>
        <v>79452.8644</v>
      </c>
      <c r="J42" s="13"/>
      <c r="K42">
        <f>[6]D桥估料表!$G$162</f>
        <v>96826.4236096</v>
      </c>
      <c r="L42">
        <v>78468.0348</v>
      </c>
    </row>
    <row r="43" ht="16.5" spans="1:11">
      <c r="A43" s="22" t="s">
        <v>41</v>
      </c>
      <c r="B43" s="22"/>
      <c r="C43" s="22"/>
      <c r="D43" s="22"/>
      <c r="E43" s="22"/>
      <c r="F43" s="22"/>
      <c r="G43" s="22"/>
      <c r="H43" s="22"/>
      <c r="I43" s="22"/>
      <c r="J43" s="22"/>
      <c r="K43">
        <v>96826.4236096</v>
      </c>
    </row>
    <row r="44" ht="16.5" spans="1:10">
      <c r="A44" s="22" t="s">
        <v>401</v>
      </c>
      <c r="B44" s="22"/>
      <c r="C44" s="22"/>
      <c r="D44" s="22"/>
      <c r="E44" s="22"/>
      <c r="F44" s="22"/>
      <c r="G44" s="22"/>
      <c r="H44" s="22"/>
      <c r="I44" s="22"/>
      <c r="J44" s="22"/>
    </row>
    <row r="45" ht="16.5" spans="1:10">
      <c r="A45" s="16" t="s">
        <v>74</v>
      </c>
      <c r="B45" s="17"/>
      <c r="C45" s="17"/>
      <c r="D45" s="17"/>
      <c r="E45" s="17"/>
      <c r="F45" s="17"/>
      <c r="G45" s="17"/>
      <c r="H45" s="17"/>
      <c r="I45" s="17"/>
      <c r="J45" s="17"/>
    </row>
  </sheetData>
  <autoFilter ref="A5:J45">
    <sortState ref="A5:J45">
      <sortCondition ref="E5"/>
    </sortState>
    <extLst/>
  </autoFilter>
  <mergeCells count="7">
    <mergeCell ref="A1:J1"/>
    <mergeCell ref="A2:J2"/>
    <mergeCell ref="A3:F3"/>
    <mergeCell ref="A42:H42"/>
    <mergeCell ref="A43:J43"/>
    <mergeCell ref="A44:J44"/>
    <mergeCell ref="A45:J45"/>
  </mergeCells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7"/>
  <dimension ref="A1:R47"/>
  <sheetViews>
    <sheetView topLeftCell="A22" workbookViewId="0">
      <selection activeCell="P1" sqref="P$1:S$1048576"/>
    </sheetView>
  </sheetViews>
  <sheetFormatPr defaultColWidth="9" defaultRowHeight="13.5"/>
  <cols>
    <col min="1" max="1" width="6" customWidth="1"/>
    <col min="2" max="2" width="7.75" customWidth="1"/>
    <col min="3" max="3" width="9.375" customWidth="1"/>
    <col min="4" max="4" width="8.5" customWidth="1"/>
    <col min="5" max="5" width="9.5" customWidth="1"/>
    <col min="6" max="6" width="9.375" customWidth="1"/>
    <col min="7" max="7" width="7.25" customWidth="1"/>
    <col min="8" max="8" width="7.5" customWidth="1"/>
    <col min="9" max="9" width="12.375" style="14" customWidth="1"/>
    <col min="10" max="10" width="10.0083333333333" customWidth="1"/>
    <col min="11" max="12" width="15.3416666666667" hidden="1" customWidth="1"/>
    <col min="13" max="13" width="12.625" hidden="1" customWidth="1"/>
    <col min="14" max="14" width="11.5" hidden="1" customWidth="1"/>
    <col min="15" max="19" width="9" hidden="1" customWidth="1"/>
  </cols>
  <sheetData>
    <row r="1" ht="28.5" customHeight="1" spans="1:12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  <c r="K1" s="24"/>
      <c r="L1" s="24"/>
    </row>
    <row r="2" ht="28.5" customHeight="1" spans="1:12">
      <c r="A2" s="15" t="s">
        <v>20</v>
      </c>
      <c r="B2" s="15"/>
      <c r="C2" s="15"/>
      <c r="D2" s="15"/>
      <c r="E2" s="15"/>
      <c r="F2" s="15"/>
      <c r="G2" s="15"/>
      <c r="H2" s="15"/>
      <c r="I2" s="23"/>
      <c r="J2" s="15"/>
      <c r="K2" s="24"/>
      <c r="L2" s="24"/>
    </row>
    <row r="3" ht="22.5" customHeight="1" spans="1:12">
      <c r="A3" s="16" t="s">
        <v>21</v>
      </c>
      <c r="B3" s="17"/>
      <c r="C3" s="17"/>
      <c r="D3" s="17"/>
      <c r="E3" s="17"/>
      <c r="F3" s="17"/>
      <c r="G3" s="17"/>
      <c r="H3" s="17"/>
      <c r="I3" s="25"/>
      <c r="J3" s="26"/>
      <c r="K3" s="27"/>
      <c r="L3" s="27"/>
    </row>
    <row r="4" ht="22.5" customHeight="1" spans="1:12">
      <c r="A4" s="18" t="s">
        <v>979</v>
      </c>
      <c r="B4" s="19"/>
      <c r="C4" s="19"/>
      <c r="D4" s="17"/>
      <c r="E4" s="19"/>
      <c r="F4" s="19"/>
      <c r="G4" s="17"/>
      <c r="H4" s="17"/>
      <c r="I4" s="28"/>
      <c r="J4" s="26"/>
      <c r="K4" s="27"/>
      <c r="L4" s="27"/>
    </row>
    <row r="5" ht="22.5" customHeight="1" spans="1:12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29" t="s">
        <v>29</v>
      </c>
      <c r="J5" s="11" t="s">
        <v>30</v>
      </c>
      <c r="K5" s="30"/>
      <c r="L5" s="30"/>
    </row>
    <row r="6" ht="22.5" customHeight="1" spans="1:12">
      <c r="A6" s="20">
        <v>1</v>
      </c>
      <c r="B6" s="20" t="s">
        <v>31</v>
      </c>
      <c r="C6" s="21" t="s">
        <v>32</v>
      </c>
      <c r="D6" s="35">
        <v>12</v>
      </c>
      <c r="E6" s="35">
        <v>1500</v>
      </c>
      <c r="F6" s="35">
        <v>6500</v>
      </c>
      <c r="G6" s="20" t="s">
        <v>33</v>
      </c>
      <c r="H6" s="35">
        <v>1</v>
      </c>
      <c r="I6" s="36">
        <f>H6*F6*E6*D6*7.85/1000000</f>
        <v>918.45</v>
      </c>
      <c r="J6" s="35" t="s">
        <v>17</v>
      </c>
      <c r="K6" s="37" t="s">
        <v>980</v>
      </c>
      <c r="L6" s="8">
        <v>1</v>
      </c>
    </row>
    <row r="7" ht="22.5" customHeight="1" spans="1:12">
      <c r="A7" s="20">
        <v>2</v>
      </c>
      <c r="B7" s="20" t="s">
        <v>31</v>
      </c>
      <c r="C7" s="21" t="s">
        <v>32</v>
      </c>
      <c r="D7" s="35">
        <v>12</v>
      </c>
      <c r="E7" s="35">
        <v>1500</v>
      </c>
      <c r="F7" s="35">
        <v>7990</v>
      </c>
      <c r="G7" s="20" t="s">
        <v>33</v>
      </c>
      <c r="H7" s="35">
        <v>1</v>
      </c>
      <c r="I7" s="36">
        <f>H7*F7*E7*D7*7.85/1000000</f>
        <v>1128.987</v>
      </c>
      <c r="J7" s="38" t="s">
        <v>234</v>
      </c>
      <c r="K7" s="37" t="s">
        <v>981</v>
      </c>
      <c r="L7" s="8">
        <v>1</v>
      </c>
    </row>
    <row r="8" ht="22.5" customHeight="1" spans="1:12">
      <c r="A8" s="20">
        <v>3</v>
      </c>
      <c r="B8" s="20" t="s">
        <v>31</v>
      </c>
      <c r="C8" s="21" t="s">
        <v>32</v>
      </c>
      <c r="D8" s="35">
        <v>12</v>
      </c>
      <c r="E8" s="35">
        <f>1960+40</f>
        <v>2000</v>
      </c>
      <c r="F8" s="35">
        <v>5010</v>
      </c>
      <c r="G8" s="20" t="s">
        <v>33</v>
      </c>
      <c r="H8" s="35">
        <v>1</v>
      </c>
      <c r="I8" s="36">
        <f>H8*F8*E8*D8*7.85/1000000</f>
        <v>943.884</v>
      </c>
      <c r="J8" s="35" t="s">
        <v>16</v>
      </c>
      <c r="K8" s="37" t="s">
        <v>982</v>
      </c>
      <c r="L8" s="8">
        <v>1</v>
      </c>
    </row>
    <row r="9" ht="22.5" customHeight="1" spans="1:12">
      <c r="A9" s="20">
        <v>4</v>
      </c>
      <c r="B9" s="20" t="s">
        <v>31</v>
      </c>
      <c r="C9" s="21" t="s">
        <v>32</v>
      </c>
      <c r="D9" s="35">
        <v>12</v>
      </c>
      <c r="E9" s="35">
        <f>1960+40</f>
        <v>2000</v>
      </c>
      <c r="F9" s="35">
        <v>10020</v>
      </c>
      <c r="G9" s="20" t="s">
        <v>33</v>
      </c>
      <c r="H9" s="35">
        <v>1</v>
      </c>
      <c r="I9" s="36">
        <f>H9*F9*E9*D9*7.85/1000000</f>
        <v>1887.768</v>
      </c>
      <c r="J9" s="35" t="s">
        <v>16</v>
      </c>
      <c r="K9" s="37" t="s">
        <v>983</v>
      </c>
      <c r="L9" s="8">
        <v>1</v>
      </c>
    </row>
    <row r="10" ht="22.5" customHeight="1" spans="1:16">
      <c r="A10" s="20">
        <v>5</v>
      </c>
      <c r="B10" s="20" t="s">
        <v>31</v>
      </c>
      <c r="C10" s="21" t="s">
        <v>32</v>
      </c>
      <c r="D10" s="8">
        <v>16</v>
      </c>
      <c r="E10" s="8">
        <v>1500</v>
      </c>
      <c r="F10" s="8">
        <v>7410</v>
      </c>
      <c r="G10" s="20" t="s">
        <v>33</v>
      </c>
      <c r="H10" s="8">
        <v>1</v>
      </c>
      <c r="I10" s="36">
        <f t="shared" ref="I10:I43" si="0">H10*F10*E10*D10*7.85/1000000</f>
        <v>1396.044</v>
      </c>
      <c r="J10" s="20" t="s">
        <v>11</v>
      </c>
      <c r="K10" s="32"/>
      <c r="L10" s="32"/>
      <c r="P10" s="33" t="s">
        <v>984</v>
      </c>
    </row>
    <row r="11" ht="22.5" customHeight="1" spans="1:17">
      <c r="A11" s="20">
        <v>6</v>
      </c>
      <c r="B11" s="20" t="s">
        <v>31</v>
      </c>
      <c r="C11" s="21" t="s">
        <v>32</v>
      </c>
      <c r="D11" s="8">
        <v>16</v>
      </c>
      <c r="E11" s="8">
        <v>1500</v>
      </c>
      <c r="F11" s="8">
        <v>7430</v>
      </c>
      <c r="G11" s="20" t="s">
        <v>33</v>
      </c>
      <c r="H11" s="8">
        <v>2</v>
      </c>
      <c r="I11" s="36">
        <f t="shared" si="0"/>
        <v>2799.624</v>
      </c>
      <c r="J11" s="20" t="s">
        <v>11</v>
      </c>
      <c r="K11" s="32"/>
      <c r="L11" s="32"/>
      <c r="P11" s="33" t="s">
        <v>985</v>
      </c>
      <c r="Q11" s="33" t="s">
        <v>986</v>
      </c>
    </row>
    <row r="12" ht="22.5" customHeight="1" spans="1:18">
      <c r="A12" s="20">
        <v>7</v>
      </c>
      <c r="B12" s="20" t="s">
        <v>31</v>
      </c>
      <c r="C12" s="21" t="s">
        <v>32</v>
      </c>
      <c r="D12" s="8">
        <v>16</v>
      </c>
      <c r="E12" s="8">
        <v>1500</v>
      </c>
      <c r="F12" s="8">
        <v>7740</v>
      </c>
      <c r="G12" s="20" t="s">
        <v>33</v>
      </c>
      <c r="H12" s="8">
        <v>3</v>
      </c>
      <c r="I12" s="36">
        <f t="shared" si="0"/>
        <v>4374.648</v>
      </c>
      <c r="J12" s="20" t="s">
        <v>11</v>
      </c>
      <c r="K12" s="32"/>
      <c r="L12" s="32"/>
      <c r="P12" s="33" t="s">
        <v>987</v>
      </c>
      <c r="Q12" s="33" t="s">
        <v>988</v>
      </c>
      <c r="R12" s="33" t="s">
        <v>989</v>
      </c>
    </row>
    <row r="13" ht="22.5" customHeight="1" spans="1:16">
      <c r="A13" s="20">
        <v>8</v>
      </c>
      <c r="B13" s="20" t="s">
        <v>31</v>
      </c>
      <c r="C13" s="21" t="s">
        <v>32</v>
      </c>
      <c r="D13" s="8">
        <v>16</v>
      </c>
      <c r="E13" s="8">
        <v>1500</v>
      </c>
      <c r="F13" s="8">
        <v>8020</v>
      </c>
      <c r="G13" s="20" t="s">
        <v>33</v>
      </c>
      <c r="H13" s="8">
        <v>1</v>
      </c>
      <c r="I13" s="36">
        <f t="shared" si="0"/>
        <v>1510.968</v>
      </c>
      <c r="J13" s="20" t="s">
        <v>34</v>
      </c>
      <c r="K13" s="32"/>
      <c r="L13" s="32"/>
      <c r="P13" s="33" t="s">
        <v>990</v>
      </c>
    </row>
    <row r="14" ht="22.5" customHeight="1" spans="1:16">
      <c r="A14" s="20">
        <v>9</v>
      </c>
      <c r="B14" s="20" t="s">
        <v>31</v>
      </c>
      <c r="C14" s="21" t="s">
        <v>32</v>
      </c>
      <c r="D14" s="8">
        <v>16</v>
      </c>
      <c r="E14" s="8">
        <v>1500</v>
      </c>
      <c r="F14" s="8">
        <v>8040</v>
      </c>
      <c r="G14" s="20" t="s">
        <v>33</v>
      </c>
      <c r="H14" s="8">
        <v>1</v>
      </c>
      <c r="I14" s="36">
        <f t="shared" si="0"/>
        <v>1514.736</v>
      </c>
      <c r="J14" s="20" t="s">
        <v>34</v>
      </c>
      <c r="K14" s="32"/>
      <c r="L14" s="32"/>
      <c r="P14" s="33" t="s">
        <v>991</v>
      </c>
    </row>
    <row r="15" ht="22.5" customHeight="1" spans="1:17">
      <c r="A15" s="20">
        <v>10</v>
      </c>
      <c r="B15" s="20" t="s">
        <v>31</v>
      </c>
      <c r="C15" s="21" t="s">
        <v>32</v>
      </c>
      <c r="D15" s="8">
        <v>16</v>
      </c>
      <c r="E15" s="8">
        <v>1800</v>
      </c>
      <c r="F15" s="8">
        <v>7300</v>
      </c>
      <c r="G15" s="20" t="s">
        <v>33</v>
      </c>
      <c r="H15" s="8">
        <v>2</v>
      </c>
      <c r="I15" s="36">
        <f t="shared" si="0"/>
        <v>3300.768</v>
      </c>
      <c r="J15" s="20" t="s">
        <v>11</v>
      </c>
      <c r="K15" s="32"/>
      <c r="L15" s="32"/>
      <c r="P15" s="33" t="s">
        <v>992</v>
      </c>
      <c r="Q15" s="33" t="s">
        <v>993</v>
      </c>
    </row>
    <row r="16" ht="22.5" customHeight="1" spans="1:17">
      <c r="A16" s="20">
        <v>11</v>
      </c>
      <c r="B16" s="20" t="s">
        <v>31</v>
      </c>
      <c r="C16" s="21" t="s">
        <v>32</v>
      </c>
      <c r="D16" s="8">
        <v>16</v>
      </c>
      <c r="E16" s="8">
        <v>1800</v>
      </c>
      <c r="F16" s="8">
        <v>7370</v>
      </c>
      <c r="G16" s="20" t="s">
        <v>33</v>
      </c>
      <c r="H16" s="8">
        <v>2</v>
      </c>
      <c r="I16" s="36">
        <f t="shared" si="0"/>
        <v>3332.4192</v>
      </c>
      <c r="J16" s="20" t="s">
        <v>11</v>
      </c>
      <c r="K16" s="32"/>
      <c r="L16" s="32"/>
      <c r="P16" s="33" t="s">
        <v>994</v>
      </c>
      <c r="Q16" s="33" t="s">
        <v>995</v>
      </c>
    </row>
    <row r="17" ht="22.5" customHeight="1" spans="1:16">
      <c r="A17" s="20">
        <v>12</v>
      </c>
      <c r="B17" s="20" t="s">
        <v>31</v>
      </c>
      <c r="C17" s="21" t="s">
        <v>32</v>
      </c>
      <c r="D17" s="8">
        <v>16</v>
      </c>
      <c r="E17" s="8">
        <v>1800</v>
      </c>
      <c r="F17" s="8">
        <v>7620</v>
      </c>
      <c r="G17" s="20" t="s">
        <v>33</v>
      </c>
      <c r="H17" s="8">
        <v>1</v>
      </c>
      <c r="I17" s="36">
        <f t="shared" si="0"/>
        <v>1722.7296</v>
      </c>
      <c r="J17" s="20" t="s">
        <v>11</v>
      </c>
      <c r="K17" s="32"/>
      <c r="L17" s="32"/>
      <c r="P17" s="33" t="s">
        <v>996</v>
      </c>
    </row>
    <row r="18" ht="22.5" customHeight="1" spans="1:16">
      <c r="A18" s="20">
        <v>13</v>
      </c>
      <c r="B18" s="20" t="s">
        <v>31</v>
      </c>
      <c r="C18" s="21" t="s">
        <v>32</v>
      </c>
      <c r="D18" s="8">
        <v>16</v>
      </c>
      <c r="E18" s="8">
        <v>1800</v>
      </c>
      <c r="F18" s="8">
        <v>7630</v>
      </c>
      <c r="G18" s="20" t="s">
        <v>33</v>
      </c>
      <c r="H18" s="8">
        <v>1</v>
      </c>
      <c r="I18" s="36">
        <f t="shared" si="0"/>
        <v>1724.9904</v>
      </c>
      <c r="J18" s="20" t="s">
        <v>11</v>
      </c>
      <c r="K18" s="32"/>
      <c r="L18" s="32"/>
      <c r="P18" s="33" t="s">
        <v>997</v>
      </c>
    </row>
    <row r="19" ht="22.5" customHeight="1" spans="1:16">
      <c r="A19" s="20">
        <v>14</v>
      </c>
      <c r="B19" s="20" t="s">
        <v>31</v>
      </c>
      <c r="C19" s="21" t="s">
        <v>32</v>
      </c>
      <c r="D19" s="8">
        <v>16</v>
      </c>
      <c r="E19" s="8">
        <v>1800</v>
      </c>
      <c r="F19" s="8">
        <v>7790</v>
      </c>
      <c r="G19" s="20" t="s">
        <v>33</v>
      </c>
      <c r="H19" s="8">
        <v>1</v>
      </c>
      <c r="I19" s="36">
        <f t="shared" si="0"/>
        <v>1761.1632</v>
      </c>
      <c r="J19" s="20" t="s">
        <v>11</v>
      </c>
      <c r="K19" s="32"/>
      <c r="L19" s="32"/>
      <c r="P19" s="33" t="s">
        <v>998</v>
      </c>
    </row>
    <row r="20" ht="22.5" customHeight="1" spans="1:16">
      <c r="A20" s="20">
        <v>15</v>
      </c>
      <c r="B20" s="20" t="s">
        <v>31</v>
      </c>
      <c r="C20" s="21" t="s">
        <v>32</v>
      </c>
      <c r="D20" s="8">
        <v>16</v>
      </c>
      <c r="E20" s="8">
        <v>1800</v>
      </c>
      <c r="F20" s="8">
        <v>7840</v>
      </c>
      <c r="G20" s="20" t="s">
        <v>33</v>
      </c>
      <c r="H20" s="8">
        <v>1</v>
      </c>
      <c r="I20" s="36">
        <f t="shared" si="0"/>
        <v>1772.4672</v>
      </c>
      <c r="J20" s="20" t="s">
        <v>12</v>
      </c>
      <c r="K20" s="32"/>
      <c r="L20" s="32"/>
      <c r="P20" s="33" t="s">
        <v>999</v>
      </c>
    </row>
    <row r="21" ht="22.5" customHeight="1" spans="1:16">
      <c r="A21" s="20">
        <v>16</v>
      </c>
      <c r="B21" s="20" t="s">
        <v>31</v>
      </c>
      <c r="C21" s="21" t="s">
        <v>32</v>
      </c>
      <c r="D21" s="8">
        <v>16</v>
      </c>
      <c r="E21" s="8">
        <v>1800</v>
      </c>
      <c r="F21" s="8">
        <v>7920</v>
      </c>
      <c r="G21" s="20" t="s">
        <v>33</v>
      </c>
      <c r="H21" s="8">
        <v>1</v>
      </c>
      <c r="I21" s="36">
        <f t="shared" si="0"/>
        <v>1790.5536</v>
      </c>
      <c r="J21" s="20" t="s">
        <v>11</v>
      </c>
      <c r="K21" s="32"/>
      <c r="L21" s="32"/>
      <c r="P21" s="33" t="s">
        <v>1000</v>
      </c>
    </row>
    <row r="22" ht="22.5" customHeight="1" spans="1:16">
      <c r="A22" s="20">
        <v>17</v>
      </c>
      <c r="B22" s="20" t="s">
        <v>31</v>
      </c>
      <c r="C22" s="21" t="s">
        <v>32</v>
      </c>
      <c r="D22" s="8">
        <v>16</v>
      </c>
      <c r="E22" s="8">
        <v>1800</v>
      </c>
      <c r="F22" s="8">
        <v>8040</v>
      </c>
      <c r="G22" s="20" t="s">
        <v>33</v>
      </c>
      <c r="H22" s="8">
        <v>1</v>
      </c>
      <c r="I22" s="36">
        <f t="shared" si="0"/>
        <v>1817.6832</v>
      </c>
      <c r="J22" s="20" t="s">
        <v>12</v>
      </c>
      <c r="K22" s="32"/>
      <c r="L22" s="32"/>
      <c r="P22" s="33" t="s">
        <v>1001</v>
      </c>
    </row>
    <row r="23" ht="22.5" customHeight="1" spans="1:16">
      <c r="A23" s="20">
        <v>18</v>
      </c>
      <c r="B23" s="20" t="s">
        <v>31</v>
      </c>
      <c r="C23" s="21" t="s">
        <v>32</v>
      </c>
      <c r="D23" s="8">
        <v>16</v>
      </c>
      <c r="E23" s="8">
        <v>1800</v>
      </c>
      <c r="F23" s="8">
        <v>8060</v>
      </c>
      <c r="G23" s="20" t="s">
        <v>33</v>
      </c>
      <c r="H23" s="8">
        <v>1</v>
      </c>
      <c r="I23" s="36">
        <f t="shared" si="0"/>
        <v>1822.2048</v>
      </c>
      <c r="J23" s="20" t="s">
        <v>34</v>
      </c>
      <c r="K23" s="32"/>
      <c r="L23" s="32"/>
      <c r="P23" s="33" t="s">
        <v>1002</v>
      </c>
    </row>
    <row r="24" ht="22.5" customHeight="1" spans="1:18">
      <c r="A24" s="20">
        <v>19</v>
      </c>
      <c r="B24" s="20" t="s">
        <v>31</v>
      </c>
      <c r="C24" s="21" t="s">
        <v>32</v>
      </c>
      <c r="D24" s="8">
        <v>16</v>
      </c>
      <c r="E24" s="8">
        <v>1800</v>
      </c>
      <c r="F24" s="8">
        <v>8130</v>
      </c>
      <c r="G24" s="20" t="s">
        <v>33</v>
      </c>
      <c r="H24" s="8">
        <v>3</v>
      </c>
      <c r="I24" s="36">
        <f t="shared" si="0"/>
        <v>5514.0912</v>
      </c>
      <c r="J24" s="20" t="s">
        <v>34</v>
      </c>
      <c r="K24" s="32"/>
      <c r="L24" s="32"/>
      <c r="P24" s="33" t="s">
        <v>1003</v>
      </c>
      <c r="Q24" s="33" t="s">
        <v>1004</v>
      </c>
      <c r="R24" s="33" t="s">
        <v>1005</v>
      </c>
    </row>
    <row r="25" ht="22.5" customHeight="1" spans="1:16">
      <c r="A25" s="20">
        <v>20</v>
      </c>
      <c r="B25" s="20" t="s">
        <v>31</v>
      </c>
      <c r="C25" s="21" t="s">
        <v>32</v>
      </c>
      <c r="D25" s="8">
        <v>16</v>
      </c>
      <c r="E25" s="8">
        <v>1800</v>
      </c>
      <c r="F25" s="8">
        <v>8220</v>
      </c>
      <c r="G25" s="20" t="s">
        <v>33</v>
      </c>
      <c r="H25" s="8">
        <v>1</v>
      </c>
      <c r="I25" s="36">
        <f t="shared" si="0"/>
        <v>1858.3776</v>
      </c>
      <c r="J25" s="20" t="s">
        <v>34</v>
      </c>
      <c r="K25" s="32"/>
      <c r="L25" s="32"/>
      <c r="P25" s="33" t="s">
        <v>1006</v>
      </c>
    </row>
    <row r="26" ht="22.5" customHeight="1" spans="1:17">
      <c r="A26" s="20">
        <v>21</v>
      </c>
      <c r="B26" s="20" t="s">
        <v>31</v>
      </c>
      <c r="C26" s="21" t="s">
        <v>32</v>
      </c>
      <c r="D26" s="8">
        <v>16</v>
      </c>
      <c r="E26" s="8">
        <v>1800</v>
      </c>
      <c r="F26" s="8">
        <v>8280</v>
      </c>
      <c r="G26" s="20" t="s">
        <v>33</v>
      </c>
      <c r="H26" s="8">
        <v>2</v>
      </c>
      <c r="I26" s="36">
        <f t="shared" si="0"/>
        <v>3743.8848</v>
      </c>
      <c r="J26" s="20" t="s">
        <v>34</v>
      </c>
      <c r="K26" s="32"/>
      <c r="L26" s="32"/>
      <c r="P26" s="33" t="s">
        <v>1007</v>
      </c>
      <c r="Q26" s="33" t="s">
        <v>1008</v>
      </c>
    </row>
    <row r="27" ht="22.5" customHeight="1" spans="1:16">
      <c r="A27" s="20">
        <v>22</v>
      </c>
      <c r="B27" s="20" t="s">
        <v>31</v>
      </c>
      <c r="C27" s="21" t="s">
        <v>32</v>
      </c>
      <c r="D27" s="8">
        <v>16</v>
      </c>
      <c r="E27" s="8">
        <v>1800</v>
      </c>
      <c r="F27" s="8">
        <v>8410</v>
      </c>
      <c r="G27" s="20" t="s">
        <v>33</v>
      </c>
      <c r="H27" s="8">
        <v>1</v>
      </c>
      <c r="I27" s="36">
        <f t="shared" si="0"/>
        <v>1901.3328</v>
      </c>
      <c r="J27" s="20" t="s">
        <v>12</v>
      </c>
      <c r="K27" s="32"/>
      <c r="L27" s="32"/>
      <c r="P27" s="33" t="s">
        <v>1009</v>
      </c>
    </row>
    <row r="28" ht="22.5" customHeight="1" spans="1:16">
      <c r="A28" s="20">
        <v>23</v>
      </c>
      <c r="B28" s="20" t="s">
        <v>31</v>
      </c>
      <c r="C28" s="21" t="s">
        <v>32</v>
      </c>
      <c r="D28" s="8">
        <v>16</v>
      </c>
      <c r="E28" s="8">
        <v>1800</v>
      </c>
      <c r="F28" s="8">
        <v>8630</v>
      </c>
      <c r="G28" s="20" t="s">
        <v>33</v>
      </c>
      <c r="H28" s="8">
        <v>1</v>
      </c>
      <c r="I28" s="36">
        <f t="shared" si="0"/>
        <v>1951.0704</v>
      </c>
      <c r="J28" s="20" t="s">
        <v>12</v>
      </c>
      <c r="K28" s="32"/>
      <c r="L28" s="32"/>
      <c r="P28" s="33" t="s">
        <v>1010</v>
      </c>
    </row>
    <row r="29" ht="22.5" customHeight="1" spans="1:16">
      <c r="A29" s="20">
        <v>24</v>
      </c>
      <c r="B29" s="20" t="s">
        <v>31</v>
      </c>
      <c r="C29" s="21" t="s">
        <v>32</v>
      </c>
      <c r="D29" s="8">
        <v>16</v>
      </c>
      <c r="E29" s="8">
        <v>1800</v>
      </c>
      <c r="F29" s="8">
        <v>9670</v>
      </c>
      <c r="G29" s="20" t="s">
        <v>33</v>
      </c>
      <c r="H29" s="8">
        <v>1</v>
      </c>
      <c r="I29" s="36">
        <f t="shared" si="0"/>
        <v>2186.1936</v>
      </c>
      <c r="J29" s="20" t="s">
        <v>11</v>
      </c>
      <c r="K29" s="32"/>
      <c r="L29" s="32"/>
      <c r="P29" s="33" t="s">
        <v>1011</v>
      </c>
    </row>
    <row r="30" ht="22.5" customHeight="1" spans="1:16">
      <c r="A30" s="20">
        <v>25</v>
      </c>
      <c r="B30" s="20" t="s">
        <v>31</v>
      </c>
      <c r="C30" s="21" t="s">
        <v>32</v>
      </c>
      <c r="D30" s="8">
        <v>16</v>
      </c>
      <c r="E30" s="8">
        <v>1800</v>
      </c>
      <c r="F30" s="8">
        <v>9820</v>
      </c>
      <c r="G30" s="20" t="s">
        <v>33</v>
      </c>
      <c r="H30" s="8">
        <v>1</v>
      </c>
      <c r="I30" s="36">
        <f t="shared" si="0"/>
        <v>2220.1056</v>
      </c>
      <c r="J30" s="20" t="s">
        <v>11</v>
      </c>
      <c r="K30" s="32"/>
      <c r="L30" s="32"/>
      <c r="P30" s="33" t="s">
        <v>1012</v>
      </c>
    </row>
    <row r="31" ht="22.5" customHeight="1" spans="1:16">
      <c r="A31" s="20">
        <v>26</v>
      </c>
      <c r="B31" s="20" t="s">
        <v>31</v>
      </c>
      <c r="C31" s="21" t="s">
        <v>32</v>
      </c>
      <c r="D31" s="8">
        <v>16</v>
      </c>
      <c r="E31" s="8">
        <v>1800</v>
      </c>
      <c r="F31" s="8">
        <v>9930</v>
      </c>
      <c r="G31" s="20" t="s">
        <v>33</v>
      </c>
      <c r="H31" s="8">
        <v>1</v>
      </c>
      <c r="I31" s="36">
        <f t="shared" si="0"/>
        <v>2244.9744</v>
      </c>
      <c r="J31" s="20" t="s">
        <v>12</v>
      </c>
      <c r="K31" s="32"/>
      <c r="L31" s="32"/>
      <c r="P31" s="33" t="s">
        <v>1013</v>
      </c>
    </row>
    <row r="32" ht="22.5" customHeight="1" spans="1:16">
      <c r="A32" s="20">
        <v>27</v>
      </c>
      <c r="B32" s="20" t="s">
        <v>31</v>
      </c>
      <c r="C32" s="21" t="s">
        <v>32</v>
      </c>
      <c r="D32" s="8">
        <v>16</v>
      </c>
      <c r="E32" s="8">
        <v>1800</v>
      </c>
      <c r="F32" s="8">
        <v>10030</v>
      </c>
      <c r="G32" s="20" t="s">
        <v>33</v>
      </c>
      <c r="H32" s="8">
        <v>1</v>
      </c>
      <c r="I32" s="36">
        <f t="shared" si="0"/>
        <v>2267.5824</v>
      </c>
      <c r="J32" s="20" t="s">
        <v>34</v>
      </c>
      <c r="K32" s="32"/>
      <c r="L32" s="32"/>
      <c r="P32" s="33" t="s">
        <v>1014</v>
      </c>
    </row>
    <row r="33" ht="22.5" customHeight="1" spans="1:16">
      <c r="A33" s="20">
        <v>28</v>
      </c>
      <c r="B33" s="20" t="s">
        <v>31</v>
      </c>
      <c r="C33" s="21" t="s">
        <v>32</v>
      </c>
      <c r="D33" s="8">
        <v>16</v>
      </c>
      <c r="E33" s="8">
        <v>1800</v>
      </c>
      <c r="F33" s="8">
        <v>10060</v>
      </c>
      <c r="G33" s="20" t="s">
        <v>33</v>
      </c>
      <c r="H33" s="8">
        <v>1</v>
      </c>
      <c r="I33" s="36">
        <f t="shared" si="0"/>
        <v>2274.3648</v>
      </c>
      <c r="J33" s="20" t="s">
        <v>34</v>
      </c>
      <c r="K33" s="32"/>
      <c r="L33" s="32"/>
      <c r="P33" s="33" t="s">
        <v>1015</v>
      </c>
    </row>
    <row r="34" ht="22.5" customHeight="1" spans="1:16">
      <c r="A34" s="20">
        <v>29</v>
      </c>
      <c r="B34" s="20" t="s">
        <v>31</v>
      </c>
      <c r="C34" s="21" t="s">
        <v>32</v>
      </c>
      <c r="D34" s="8">
        <v>16</v>
      </c>
      <c r="E34" s="8">
        <v>1800</v>
      </c>
      <c r="F34" s="8">
        <v>11030</v>
      </c>
      <c r="G34" s="20" t="s">
        <v>33</v>
      </c>
      <c r="H34" s="8">
        <v>1</v>
      </c>
      <c r="I34" s="36">
        <f t="shared" si="0"/>
        <v>2493.6624</v>
      </c>
      <c r="J34" s="20" t="s">
        <v>12</v>
      </c>
      <c r="K34" s="32"/>
      <c r="L34" s="32"/>
      <c r="P34" s="33" t="s">
        <v>1016</v>
      </c>
    </row>
    <row r="35" ht="22.5" customHeight="1" spans="1:16">
      <c r="A35" s="20">
        <v>30</v>
      </c>
      <c r="B35" s="20" t="s">
        <v>31</v>
      </c>
      <c r="C35" s="21" t="s">
        <v>32</v>
      </c>
      <c r="D35" s="8">
        <v>16</v>
      </c>
      <c r="E35" s="8">
        <v>1800</v>
      </c>
      <c r="F35" s="8">
        <v>11420</v>
      </c>
      <c r="G35" s="20" t="s">
        <v>33</v>
      </c>
      <c r="H35" s="8">
        <v>1</v>
      </c>
      <c r="I35" s="36">
        <f t="shared" si="0"/>
        <v>2581.8336</v>
      </c>
      <c r="J35" s="20" t="s">
        <v>12</v>
      </c>
      <c r="K35" s="32"/>
      <c r="L35" s="32"/>
      <c r="P35" s="33" t="s">
        <v>1017</v>
      </c>
    </row>
    <row r="36" ht="22.5" customHeight="1" spans="1:16">
      <c r="A36" s="20">
        <v>31</v>
      </c>
      <c r="B36" s="20" t="s">
        <v>31</v>
      </c>
      <c r="C36" s="21" t="s">
        <v>32</v>
      </c>
      <c r="D36" s="8">
        <v>16</v>
      </c>
      <c r="E36" s="8">
        <v>1800</v>
      </c>
      <c r="F36" s="8">
        <v>11470</v>
      </c>
      <c r="G36" s="20" t="s">
        <v>33</v>
      </c>
      <c r="H36" s="8">
        <v>1</v>
      </c>
      <c r="I36" s="36">
        <f t="shared" si="0"/>
        <v>2593.1376</v>
      </c>
      <c r="J36" s="20" t="s">
        <v>12</v>
      </c>
      <c r="K36" s="32"/>
      <c r="L36" s="32"/>
      <c r="P36" s="33" t="s">
        <v>1018</v>
      </c>
    </row>
    <row r="37" ht="22.5" customHeight="1" spans="1:16">
      <c r="A37" s="20">
        <v>32</v>
      </c>
      <c r="B37" s="20" t="s">
        <v>31</v>
      </c>
      <c r="C37" s="21" t="s">
        <v>32</v>
      </c>
      <c r="D37" s="8">
        <v>16</v>
      </c>
      <c r="E37" s="8">
        <v>1800</v>
      </c>
      <c r="F37" s="8">
        <v>11900</v>
      </c>
      <c r="G37" s="20" t="s">
        <v>33</v>
      </c>
      <c r="H37" s="8">
        <v>1</v>
      </c>
      <c r="I37" s="36">
        <f t="shared" si="0"/>
        <v>2690.352</v>
      </c>
      <c r="J37" s="20" t="s">
        <v>12</v>
      </c>
      <c r="K37" s="32"/>
      <c r="L37" s="32"/>
      <c r="P37" s="33" t="s">
        <v>1019</v>
      </c>
    </row>
    <row r="38" ht="22.5" customHeight="1" spans="1:16">
      <c r="A38" s="20">
        <v>33</v>
      </c>
      <c r="B38" s="20" t="s">
        <v>31</v>
      </c>
      <c r="C38" s="21" t="s">
        <v>32</v>
      </c>
      <c r="D38" s="8">
        <v>16</v>
      </c>
      <c r="E38" s="8">
        <v>2000</v>
      </c>
      <c r="F38" s="8">
        <v>7360</v>
      </c>
      <c r="G38" s="20" t="s">
        <v>33</v>
      </c>
      <c r="H38" s="8">
        <v>1</v>
      </c>
      <c r="I38" s="36">
        <f t="shared" si="0"/>
        <v>1848.832</v>
      </c>
      <c r="J38" s="20" t="s">
        <v>11</v>
      </c>
      <c r="K38" s="32"/>
      <c r="L38" s="32"/>
      <c r="P38" s="33" t="s">
        <v>1020</v>
      </c>
    </row>
    <row r="39" ht="22.5" customHeight="1" spans="1:16">
      <c r="A39" s="20">
        <v>34</v>
      </c>
      <c r="B39" s="20" t="s">
        <v>31</v>
      </c>
      <c r="C39" s="21" t="s">
        <v>32</v>
      </c>
      <c r="D39" s="8">
        <v>16</v>
      </c>
      <c r="E39" s="8">
        <v>2000</v>
      </c>
      <c r="F39" s="8">
        <v>7510</v>
      </c>
      <c r="G39" s="20" t="s">
        <v>33</v>
      </c>
      <c r="H39" s="8">
        <v>1</v>
      </c>
      <c r="I39" s="36">
        <f t="shared" si="0"/>
        <v>1886.512</v>
      </c>
      <c r="J39" s="20" t="s">
        <v>11</v>
      </c>
      <c r="K39" s="32"/>
      <c r="L39" s="32"/>
      <c r="P39" s="33" t="s">
        <v>1021</v>
      </c>
    </row>
    <row r="40" ht="22.5" customHeight="1" spans="1:16">
      <c r="A40" s="20">
        <v>35</v>
      </c>
      <c r="B40" s="20" t="s">
        <v>31</v>
      </c>
      <c r="C40" s="21" t="s">
        <v>32</v>
      </c>
      <c r="D40" s="8">
        <v>16</v>
      </c>
      <c r="E40" s="8">
        <v>2000</v>
      </c>
      <c r="F40" s="8">
        <v>7550</v>
      </c>
      <c r="G40" s="20" t="s">
        <v>33</v>
      </c>
      <c r="H40" s="8">
        <v>1</v>
      </c>
      <c r="I40" s="36">
        <f t="shared" si="0"/>
        <v>1896.56</v>
      </c>
      <c r="J40" s="20" t="s">
        <v>11</v>
      </c>
      <c r="K40" s="32"/>
      <c r="L40" s="32"/>
      <c r="P40" s="33" t="s">
        <v>1022</v>
      </c>
    </row>
    <row r="41" ht="22.5" customHeight="1" spans="1:16">
      <c r="A41" s="20">
        <v>36</v>
      </c>
      <c r="B41" s="20" t="s">
        <v>31</v>
      </c>
      <c r="C41" s="21" t="s">
        <v>32</v>
      </c>
      <c r="D41" s="8">
        <v>16</v>
      </c>
      <c r="E41" s="8">
        <v>2000</v>
      </c>
      <c r="F41" s="8">
        <v>7920</v>
      </c>
      <c r="G41" s="20" t="s">
        <v>33</v>
      </c>
      <c r="H41" s="8">
        <v>1</v>
      </c>
      <c r="I41" s="36">
        <f t="shared" si="0"/>
        <v>1989.504</v>
      </c>
      <c r="J41" s="20" t="s">
        <v>11</v>
      </c>
      <c r="K41" s="32"/>
      <c r="L41" s="32"/>
      <c r="P41" s="33" t="s">
        <v>1023</v>
      </c>
    </row>
    <row r="42" ht="22.5" customHeight="1" spans="1:16">
      <c r="A42" s="20">
        <v>37</v>
      </c>
      <c r="B42" s="20" t="s">
        <v>31</v>
      </c>
      <c r="C42" s="21" t="s">
        <v>32</v>
      </c>
      <c r="D42" s="8">
        <v>16</v>
      </c>
      <c r="E42" s="8">
        <v>2000</v>
      </c>
      <c r="F42" s="8">
        <v>8040</v>
      </c>
      <c r="G42" s="20" t="s">
        <v>33</v>
      </c>
      <c r="H42" s="8">
        <v>1</v>
      </c>
      <c r="I42" s="36">
        <f t="shared" si="0"/>
        <v>2019.648</v>
      </c>
      <c r="J42" s="20" t="s">
        <v>34</v>
      </c>
      <c r="K42" s="32"/>
      <c r="L42" s="32"/>
      <c r="P42" s="33" t="s">
        <v>1024</v>
      </c>
    </row>
    <row r="43" ht="22.5" customHeight="1" spans="1:16">
      <c r="A43" s="20">
        <v>38</v>
      </c>
      <c r="B43" s="20" t="s">
        <v>31</v>
      </c>
      <c r="C43" s="21" t="s">
        <v>32</v>
      </c>
      <c r="D43" s="8">
        <v>16</v>
      </c>
      <c r="E43" s="8">
        <v>2000</v>
      </c>
      <c r="F43" s="8">
        <v>9720</v>
      </c>
      <c r="G43" s="20" t="s">
        <v>33</v>
      </c>
      <c r="H43" s="8">
        <v>1</v>
      </c>
      <c r="I43" s="36">
        <f t="shared" si="0"/>
        <v>2441.664</v>
      </c>
      <c r="J43" s="20" t="s">
        <v>11</v>
      </c>
      <c r="K43" s="32"/>
      <c r="L43" s="32"/>
      <c r="M43">
        <f>SUM(I10:I43)</f>
        <v>79244.6824</v>
      </c>
      <c r="N43">
        <f>[19]Sheet2!$N$36</f>
        <v>79244.6824</v>
      </c>
      <c r="P43" s="33" t="s">
        <v>1025</v>
      </c>
    </row>
    <row r="44" ht="16.5" spans="1:13">
      <c r="A44" s="5" t="s">
        <v>40</v>
      </c>
      <c r="B44" s="5"/>
      <c r="C44" s="5"/>
      <c r="D44" s="5"/>
      <c r="E44" s="5"/>
      <c r="F44" s="5"/>
      <c r="G44" s="5"/>
      <c r="H44" s="5"/>
      <c r="I44" s="34">
        <f>SUM(I6:I43)</f>
        <v>84123.7714</v>
      </c>
      <c r="J44" s="13"/>
      <c r="K44">
        <v>82836.54724</v>
      </c>
      <c r="L44">
        <f>[6]D桥估料表!$G$174</f>
        <v>101211.250736</v>
      </c>
      <c r="M44">
        <v>101211.250736</v>
      </c>
    </row>
    <row r="45" ht="16.5" spans="1:10">
      <c r="A45" s="22" t="s">
        <v>41</v>
      </c>
      <c r="B45" s="22"/>
      <c r="C45" s="22"/>
      <c r="D45" s="22"/>
      <c r="E45" s="22"/>
      <c r="F45" s="22"/>
      <c r="G45" s="22"/>
      <c r="H45" s="22"/>
      <c r="I45" s="22"/>
      <c r="J45" s="22"/>
    </row>
    <row r="46" ht="16.5" spans="1:10">
      <c r="A46" s="22" t="s">
        <v>401</v>
      </c>
      <c r="B46" s="22"/>
      <c r="C46" s="22"/>
      <c r="D46" s="22"/>
      <c r="E46" s="22"/>
      <c r="F46" s="22"/>
      <c r="G46" s="22"/>
      <c r="H46" s="22"/>
      <c r="I46" s="22"/>
      <c r="J46" s="22"/>
    </row>
    <row r="47" ht="16.5" spans="1:10">
      <c r="A47" s="16" t="s">
        <v>74</v>
      </c>
      <c r="B47" s="17"/>
      <c r="C47" s="17"/>
      <c r="D47" s="17"/>
      <c r="E47" s="17"/>
      <c r="F47" s="17"/>
      <c r="G47" s="17"/>
      <c r="H47" s="17"/>
      <c r="I47" s="17"/>
      <c r="J47" s="17"/>
    </row>
  </sheetData>
  <autoFilter ref="A5:J47">
    <sortState ref="A5:J47">
      <sortCondition ref="E5"/>
    </sortState>
    <extLst/>
  </autoFilter>
  <mergeCells count="7">
    <mergeCell ref="A1:J1"/>
    <mergeCell ref="A2:J2"/>
    <mergeCell ref="A3:F3"/>
    <mergeCell ref="A44:H44"/>
    <mergeCell ref="A45:J45"/>
    <mergeCell ref="A46:J46"/>
    <mergeCell ref="A47:J47"/>
  </mergeCells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8"/>
  <dimension ref="A1:X37"/>
  <sheetViews>
    <sheetView topLeftCell="A22" workbookViewId="0">
      <selection activeCell="AB37" sqref="AB37"/>
    </sheetView>
  </sheetViews>
  <sheetFormatPr defaultColWidth="9" defaultRowHeight="13.5"/>
  <cols>
    <col min="1" max="2" width="8.675" customWidth="1"/>
    <col min="3" max="3" width="10.3416666666667" customWidth="1"/>
    <col min="4" max="4" width="7.875" customWidth="1"/>
    <col min="5" max="5" width="7.75" customWidth="1"/>
    <col min="6" max="6" width="9.375" customWidth="1"/>
    <col min="7" max="7" width="6.875" customWidth="1"/>
    <col min="8" max="8" width="6.125" customWidth="1"/>
    <col min="9" max="9" width="11.125" style="14" customWidth="1"/>
    <col min="10" max="10" width="8.875" customWidth="1"/>
    <col min="11" max="12" width="15.3416666666667" hidden="1" customWidth="1"/>
    <col min="13" max="13" width="12.625" hidden="1" customWidth="1"/>
    <col min="14" max="14" width="11.5" hidden="1" customWidth="1"/>
    <col min="15" max="16" width="12.625" hidden="1" customWidth="1"/>
    <col min="17" max="26" width="9" hidden="1" customWidth="1"/>
  </cols>
  <sheetData>
    <row r="1" ht="28.5" customHeight="1" spans="1:12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  <c r="K1" s="24"/>
      <c r="L1" s="24"/>
    </row>
    <row r="2" ht="28.5" customHeight="1" spans="1:12">
      <c r="A2" s="15" t="s">
        <v>20</v>
      </c>
      <c r="B2" s="15"/>
      <c r="C2" s="15"/>
      <c r="D2" s="15"/>
      <c r="E2" s="15"/>
      <c r="F2" s="15"/>
      <c r="G2" s="15"/>
      <c r="H2" s="15"/>
      <c r="I2" s="23"/>
      <c r="J2" s="15"/>
      <c r="K2" s="24"/>
      <c r="L2" s="24"/>
    </row>
    <row r="3" ht="22.5" customHeight="1" spans="1:12">
      <c r="A3" s="16" t="s">
        <v>21</v>
      </c>
      <c r="B3" s="17"/>
      <c r="C3" s="17"/>
      <c r="D3" s="17"/>
      <c r="E3" s="17"/>
      <c r="F3" s="17"/>
      <c r="G3" s="17"/>
      <c r="H3" s="17"/>
      <c r="I3" s="25"/>
      <c r="J3" s="26"/>
      <c r="K3" s="27"/>
      <c r="L3" s="27"/>
    </row>
    <row r="4" ht="22.5" customHeight="1" spans="1:12">
      <c r="A4" s="18" t="s">
        <v>1026</v>
      </c>
      <c r="B4" s="19"/>
      <c r="C4" s="19"/>
      <c r="D4" s="17"/>
      <c r="E4" s="19"/>
      <c r="F4" s="19"/>
      <c r="G4" s="17"/>
      <c r="H4" s="17"/>
      <c r="I4" s="28"/>
      <c r="J4" s="26"/>
      <c r="K4" s="27"/>
      <c r="L4" s="27"/>
    </row>
    <row r="5" ht="22.5" customHeight="1" spans="1:12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29" t="s">
        <v>29</v>
      </c>
      <c r="J5" s="11" t="s">
        <v>30</v>
      </c>
      <c r="K5" s="30"/>
      <c r="L5" s="30"/>
    </row>
    <row r="6" ht="22.5" customHeight="1" spans="1:12">
      <c r="A6" s="20">
        <v>1</v>
      </c>
      <c r="B6" s="20" t="s">
        <v>31</v>
      </c>
      <c r="C6" s="21" t="s">
        <v>32</v>
      </c>
      <c r="D6" s="35">
        <v>12</v>
      </c>
      <c r="E6" s="35">
        <v>1500</v>
      </c>
      <c r="F6" s="35">
        <v>7420</v>
      </c>
      <c r="G6" s="20" t="s">
        <v>33</v>
      </c>
      <c r="H6" s="35">
        <v>1</v>
      </c>
      <c r="I6" s="36">
        <f>H6*F6*E6*D6*7.85/1000000</f>
        <v>1048.446</v>
      </c>
      <c r="J6" s="38" t="s">
        <v>234</v>
      </c>
      <c r="K6" s="37" t="s">
        <v>1027</v>
      </c>
      <c r="L6" s="8">
        <v>1</v>
      </c>
    </row>
    <row r="7" ht="22.5" customHeight="1" spans="1:12">
      <c r="A7" s="20">
        <v>2</v>
      </c>
      <c r="B7" s="20" t="s">
        <v>31</v>
      </c>
      <c r="C7" s="21" t="s">
        <v>32</v>
      </c>
      <c r="D7" s="35">
        <v>12</v>
      </c>
      <c r="E7" s="35">
        <v>1500</v>
      </c>
      <c r="F7" s="35">
        <v>10020</v>
      </c>
      <c r="G7" s="20" t="s">
        <v>33</v>
      </c>
      <c r="H7" s="35">
        <v>1</v>
      </c>
      <c r="I7" s="36">
        <f>H7*F7*E7*D7*7.85/1000000</f>
        <v>1415.826</v>
      </c>
      <c r="J7" s="35" t="s">
        <v>17</v>
      </c>
      <c r="K7" s="37" t="s">
        <v>1028</v>
      </c>
      <c r="L7" s="8">
        <v>1</v>
      </c>
    </row>
    <row r="8" ht="22.5" customHeight="1" spans="1:12">
      <c r="A8" s="20">
        <v>3</v>
      </c>
      <c r="B8" s="20" t="s">
        <v>31</v>
      </c>
      <c r="C8" s="21" t="s">
        <v>32</v>
      </c>
      <c r="D8" s="35">
        <v>12</v>
      </c>
      <c r="E8" s="35">
        <f>1960+40</f>
        <v>2000</v>
      </c>
      <c r="F8" s="35">
        <v>10020</v>
      </c>
      <c r="G8" s="20" t="s">
        <v>33</v>
      </c>
      <c r="H8" s="35">
        <v>1</v>
      </c>
      <c r="I8" s="36">
        <f>H8*F8*E8*D8*7.85/1000000</f>
        <v>1887.768</v>
      </c>
      <c r="J8" s="35" t="s">
        <v>16</v>
      </c>
      <c r="K8" s="37" t="s">
        <v>1029</v>
      </c>
      <c r="L8" s="8">
        <v>1</v>
      </c>
    </row>
    <row r="9" ht="22.5" customHeight="1" spans="1:24">
      <c r="A9" s="20">
        <v>4</v>
      </c>
      <c r="B9" s="20" t="s">
        <v>31</v>
      </c>
      <c r="C9" s="21" t="s">
        <v>32</v>
      </c>
      <c r="D9" s="8">
        <v>16</v>
      </c>
      <c r="E9" s="8">
        <v>1500</v>
      </c>
      <c r="F9" s="8">
        <v>7420</v>
      </c>
      <c r="G9" s="20" t="s">
        <v>33</v>
      </c>
      <c r="H9" s="8">
        <v>9</v>
      </c>
      <c r="I9" s="36">
        <f t="shared" ref="I9:I33" si="0">H9*F9*E9*D9*7.85/1000000</f>
        <v>12581.352</v>
      </c>
      <c r="J9" s="20" t="s">
        <v>11</v>
      </c>
      <c r="K9" s="32"/>
      <c r="L9" s="32"/>
      <c r="P9" s="33" t="s">
        <v>1030</v>
      </c>
      <c r="Q9" s="33" t="s">
        <v>1031</v>
      </c>
      <c r="R9" s="33" t="s">
        <v>1032</v>
      </c>
      <c r="S9" s="33" t="s">
        <v>1033</v>
      </c>
      <c r="T9" s="33" t="s">
        <v>1034</v>
      </c>
      <c r="U9" s="33" t="s">
        <v>1035</v>
      </c>
      <c r="V9" s="33" t="s">
        <v>1036</v>
      </c>
      <c r="W9" s="33" t="s">
        <v>1037</v>
      </c>
      <c r="X9" s="33" t="s">
        <v>1038</v>
      </c>
    </row>
    <row r="10" ht="22.5" customHeight="1" spans="1:18">
      <c r="A10" s="20">
        <v>5</v>
      </c>
      <c r="B10" s="20" t="s">
        <v>31</v>
      </c>
      <c r="C10" s="21" t="s">
        <v>32</v>
      </c>
      <c r="D10" s="8">
        <v>16</v>
      </c>
      <c r="E10" s="8">
        <v>1500</v>
      </c>
      <c r="F10" s="8">
        <v>7740</v>
      </c>
      <c r="G10" s="20" t="s">
        <v>33</v>
      </c>
      <c r="H10" s="8">
        <v>3</v>
      </c>
      <c r="I10" s="36">
        <f t="shared" si="0"/>
        <v>4374.648</v>
      </c>
      <c r="J10" s="20" t="s">
        <v>11</v>
      </c>
      <c r="K10" s="32"/>
      <c r="L10" s="32"/>
      <c r="P10" s="33" t="s">
        <v>1039</v>
      </c>
      <c r="Q10" s="33" t="s">
        <v>1040</v>
      </c>
      <c r="R10" s="33" t="s">
        <v>1041</v>
      </c>
    </row>
    <row r="11" ht="22.5" customHeight="1" spans="1:16">
      <c r="A11" s="20">
        <v>6</v>
      </c>
      <c r="B11" s="20" t="s">
        <v>31</v>
      </c>
      <c r="C11" s="21" t="s">
        <v>32</v>
      </c>
      <c r="D11" s="8">
        <v>16</v>
      </c>
      <c r="E11" s="8">
        <v>1500</v>
      </c>
      <c r="F11" s="8">
        <v>8010</v>
      </c>
      <c r="G11" s="20" t="s">
        <v>33</v>
      </c>
      <c r="H11" s="8">
        <v>1</v>
      </c>
      <c r="I11" s="36">
        <f t="shared" si="0"/>
        <v>1509.084</v>
      </c>
      <c r="J11" s="20" t="s">
        <v>34</v>
      </c>
      <c r="K11" s="32"/>
      <c r="L11" s="32"/>
      <c r="P11" s="33" t="s">
        <v>1042</v>
      </c>
    </row>
    <row r="12" ht="22.5" customHeight="1" spans="1:18">
      <c r="A12" s="20">
        <v>7</v>
      </c>
      <c r="B12" s="20" t="s">
        <v>31</v>
      </c>
      <c r="C12" s="21" t="s">
        <v>32</v>
      </c>
      <c r="D12" s="8">
        <v>16</v>
      </c>
      <c r="E12" s="8">
        <v>1500</v>
      </c>
      <c r="F12" s="8">
        <v>8020</v>
      </c>
      <c r="G12" s="20" t="s">
        <v>33</v>
      </c>
      <c r="H12" s="8">
        <v>3</v>
      </c>
      <c r="I12" s="36">
        <f t="shared" si="0"/>
        <v>4532.904</v>
      </c>
      <c r="J12" s="20" t="s">
        <v>34</v>
      </c>
      <c r="K12" s="32"/>
      <c r="L12" s="32"/>
      <c r="P12" s="33" t="s">
        <v>1043</v>
      </c>
      <c r="Q12" s="33" t="s">
        <v>1044</v>
      </c>
      <c r="R12" s="33" t="s">
        <v>1045</v>
      </c>
    </row>
    <row r="13" ht="22.5" customHeight="1" spans="1:16">
      <c r="A13" s="20">
        <v>8</v>
      </c>
      <c r="B13" s="20" t="s">
        <v>31</v>
      </c>
      <c r="C13" s="21" t="s">
        <v>32</v>
      </c>
      <c r="D13" s="8">
        <v>16</v>
      </c>
      <c r="E13" s="8">
        <v>1500</v>
      </c>
      <c r="F13" s="8">
        <v>8030</v>
      </c>
      <c r="G13" s="20" t="s">
        <v>33</v>
      </c>
      <c r="H13" s="8">
        <v>1</v>
      </c>
      <c r="I13" s="36">
        <f t="shared" si="0"/>
        <v>1512.852</v>
      </c>
      <c r="J13" s="20" t="s">
        <v>34</v>
      </c>
      <c r="K13" s="32"/>
      <c r="L13" s="32"/>
      <c r="P13" s="33" t="s">
        <v>1046</v>
      </c>
    </row>
    <row r="14" ht="22.5" customHeight="1" spans="1:16">
      <c r="A14" s="20">
        <v>9</v>
      </c>
      <c r="B14" s="20" t="s">
        <v>31</v>
      </c>
      <c r="C14" s="21" t="s">
        <v>32</v>
      </c>
      <c r="D14" s="8">
        <v>16</v>
      </c>
      <c r="E14" s="8">
        <v>1500</v>
      </c>
      <c r="F14" s="8">
        <v>8040</v>
      </c>
      <c r="G14" s="20" t="s">
        <v>33</v>
      </c>
      <c r="H14" s="8">
        <v>1</v>
      </c>
      <c r="I14" s="36">
        <f t="shared" si="0"/>
        <v>1514.736</v>
      </c>
      <c r="J14" s="20" t="s">
        <v>34</v>
      </c>
      <c r="K14" s="32"/>
      <c r="L14" s="32"/>
      <c r="P14" s="33" t="s">
        <v>1047</v>
      </c>
    </row>
    <row r="15" ht="22.5" customHeight="1" spans="1:16">
      <c r="A15" s="20">
        <v>10</v>
      </c>
      <c r="B15" s="20" t="s">
        <v>31</v>
      </c>
      <c r="C15" s="21" t="s">
        <v>32</v>
      </c>
      <c r="D15" s="8">
        <v>16</v>
      </c>
      <c r="E15" s="8">
        <v>1500</v>
      </c>
      <c r="F15" s="8">
        <v>8070</v>
      </c>
      <c r="G15" s="20" t="s">
        <v>33</v>
      </c>
      <c r="H15" s="8">
        <v>1</v>
      </c>
      <c r="I15" s="36">
        <f t="shared" si="0"/>
        <v>1520.388</v>
      </c>
      <c r="J15" s="20" t="s">
        <v>34</v>
      </c>
      <c r="K15" s="32"/>
      <c r="L15" s="32"/>
      <c r="P15" s="33" t="s">
        <v>1048</v>
      </c>
    </row>
    <row r="16" ht="22.5" customHeight="1" spans="1:16">
      <c r="A16" s="20">
        <v>11</v>
      </c>
      <c r="B16" s="20" t="s">
        <v>31</v>
      </c>
      <c r="C16" s="21" t="s">
        <v>32</v>
      </c>
      <c r="D16" s="8">
        <v>16</v>
      </c>
      <c r="E16" s="8">
        <v>1500</v>
      </c>
      <c r="F16" s="8">
        <v>8080</v>
      </c>
      <c r="G16" s="20" t="s">
        <v>33</v>
      </c>
      <c r="H16" s="8">
        <v>1</v>
      </c>
      <c r="I16" s="36">
        <f t="shared" si="0"/>
        <v>1522.272</v>
      </c>
      <c r="J16" s="20" t="s">
        <v>34</v>
      </c>
      <c r="K16" s="32"/>
      <c r="L16" s="32"/>
      <c r="P16" s="33" t="s">
        <v>1049</v>
      </c>
    </row>
    <row r="17" ht="22.5" customHeight="1" spans="1:18">
      <c r="A17" s="20">
        <v>12</v>
      </c>
      <c r="B17" s="20" t="s">
        <v>31</v>
      </c>
      <c r="C17" s="21" t="s">
        <v>32</v>
      </c>
      <c r="D17" s="8">
        <v>16</v>
      </c>
      <c r="E17" s="8">
        <v>1500</v>
      </c>
      <c r="F17" s="8">
        <v>9700</v>
      </c>
      <c r="G17" s="20" t="s">
        <v>33</v>
      </c>
      <c r="H17" s="8">
        <v>3</v>
      </c>
      <c r="I17" s="36">
        <f t="shared" si="0"/>
        <v>5482.44</v>
      </c>
      <c r="J17" s="20" t="s">
        <v>11</v>
      </c>
      <c r="K17" s="32"/>
      <c r="L17" s="32"/>
      <c r="P17" s="33" t="s">
        <v>1050</v>
      </c>
      <c r="Q17" s="33" t="s">
        <v>1051</v>
      </c>
      <c r="R17" s="33" t="s">
        <v>1052</v>
      </c>
    </row>
    <row r="18" ht="22.5" customHeight="1" spans="1:16">
      <c r="A18" s="20">
        <v>13</v>
      </c>
      <c r="B18" s="20" t="s">
        <v>31</v>
      </c>
      <c r="C18" s="21" t="s">
        <v>32</v>
      </c>
      <c r="D18" s="8">
        <v>16</v>
      </c>
      <c r="E18" s="8">
        <v>1500</v>
      </c>
      <c r="F18" s="8">
        <v>9800</v>
      </c>
      <c r="G18" s="20" t="s">
        <v>33</v>
      </c>
      <c r="H18" s="8">
        <v>1</v>
      </c>
      <c r="I18" s="36">
        <f t="shared" si="0"/>
        <v>1846.32</v>
      </c>
      <c r="J18" s="20" t="s">
        <v>12</v>
      </c>
      <c r="K18" s="32"/>
      <c r="L18" s="32"/>
      <c r="P18" t="s">
        <v>1053</v>
      </c>
    </row>
    <row r="19" ht="22.5" customHeight="1" spans="1:17">
      <c r="A19" s="20">
        <v>14</v>
      </c>
      <c r="B19" s="20" t="s">
        <v>31</v>
      </c>
      <c r="C19" s="21" t="s">
        <v>32</v>
      </c>
      <c r="D19" s="8">
        <v>16</v>
      </c>
      <c r="E19" s="8">
        <v>1500</v>
      </c>
      <c r="F19" s="8">
        <v>10000</v>
      </c>
      <c r="G19" s="20" t="s">
        <v>33</v>
      </c>
      <c r="H19" s="8">
        <v>2</v>
      </c>
      <c r="I19" s="36">
        <f t="shared" si="0"/>
        <v>3768</v>
      </c>
      <c r="J19" s="20" t="s">
        <v>34</v>
      </c>
      <c r="K19" s="32"/>
      <c r="L19" s="32"/>
      <c r="P19" s="33" t="s">
        <v>1054</v>
      </c>
      <c r="Q19" s="33" t="s">
        <v>1055</v>
      </c>
    </row>
    <row r="20" ht="22.5" customHeight="1" spans="1:16">
      <c r="A20" s="20">
        <v>15</v>
      </c>
      <c r="B20" s="20" t="s">
        <v>31</v>
      </c>
      <c r="C20" s="21" t="s">
        <v>32</v>
      </c>
      <c r="D20" s="8">
        <v>16</v>
      </c>
      <c r="E20" s="8">
        <v>1800</v>
      </c>
      <c r="F20" s="8">
        <v>7390</v>
      </c>
      <c r="G20" s="20" t="s">
        <v>33</v>
      </c>
      <c r="H20" s="8">
        <v>1</v>
      </c>
      <c r="I20" s="36">
        <f t="shared" si="0"/>
        <v>1670.7312</v>
      </c>
      <c r="J20" s="20" t="s">
        <v>11</v>
      </c>
      <c r="K20" s="32"/>
      <c r="L20" s="32"/>
      <c r="P20" s="33" t="s">
        <v>1056</v>
      </c>
    </row>
    <row r="21" ht="22.5" customHeight="1" spans="1:16">
      <c r="A21" s="20">
        <v>16</v>
      </c>
      <c r="B21" s="20" t="s">
        <v>31</v>
      </c>
      <c r="C21" s="21" t="s">
        <v>32</v>
      </c>
      <c r="D21" s="8">
        <v>16</v>
      </c>
      <c r="E21" s="8">
        <v>1800</v>
      </c>
      <c r="F21" s="8">
        <v>7400</v>
      </c>
      <c r="G21" s="20" t="s">
        <v>33</v>
      </c>
      <c r="H21" s="8">
        <v>1</v>
      </c>
      <c r="I21" s="36">
        <f t="shared" si="0"/>
        <v>1672.992</v>
      </c>
      <c r="J21" s="20" t="s">
        <v>11</v>
      </c>
      <c r="K21" s="32"/>
      <c r="L21" s="32"/>
      <c r="P21" s="33" t="s">
        <v>1057</v>
      </c>
    </row>
    <row r="22" ht="22.5" customHeight="1" spans="1:16">
      <c r="A22" s="20">
        <v>17</v>
      </c>
      <c r="B22" s="20" t="s">
        <v>31</v>
      </c>
      <c r="C22" s="21" t="s">
        <v>32</v>
      </c>
      <c r="D22" s="8">
        <v>16</v>
      </c>
      <c r="E22" s="8">
        <v>1800</v>
      </c>
      <c r="F22" s="8">
        <v>7520</v>
      </c>
      <c r="G22" s="20" t="s">
        <v>33</v>
      </c>
      <c r="H22" s="8">
        <v>1</v>
      </c>
      <c r="I22" s="36">
        <f t="shared" si="0"/>
        <v>1700.1216</v>
      </c>
      <c r="J22" s="20" t="s">
        <v>11</v>
      </c>
      <c r="K22" s="32"/>
      <c r="L22" s="32"/>
      <c r="P22" s="33" t="s">
        <v>1058</v>
      </c>
    </row>
    <row r="23" ht="22.5" customHeight="1" spans="1:16">
      <c r="A23" s="20">
        <v>18</v>
      </c>
      <c r="B23" s="20" t="s">
        <v>31</v>
      </c>
      <c r="C23" s="21" t="s">
        <v>32</v>
      </c>
      <c r="D23" s="8">
        <v>16</v>
      </c>
      <c r="E23" s="8">
        <v>1800</v>
      </c>
      <c r="F23" s="8">
        <v>7530</v>
      </c>
      <c r="G23" s="20" t="s">
        <v>33</v>
      </c>
      <c r="H23" s="8">
        <v>1</v>
      </c>
      <c r="I23" s="36">
        <f t="shared" si="0"/>
        <v>1702.3824</v>
      </c>
      <c r="J23" s="20" t="s">
        <v>11</v>
      </c>
      <c r="K23" s="32"/>
      <c r="L23" s="32"/>
      <c r="P23" s="33" t="s">
        <v>1059</v>
      </c>
    </row>
    <row r="24" ht="22.5" customHeight="1" spans="1:17">
      <c r="A24" s="20">
        <v>19</v>
      </c>
      <c r="B24" s="20" t="s">
        <v>31</v>
      </c>
      <c r="C24" s="21" t="s">
        <v>32</v>
      </c>
      <c r="D24" s="8">
        <v>16</v>
      </c>
      <c r="E24" s="8">
        <v>1800</v>
      </c>
      <c r="F24" s="8">
        <v>7620</v>
      </c>
      <c r="G24" s="20" t="s">
        <v>33</v>
      </c>
      <c r="H24" s="8">
        <v>2</v>
      </c>
      <c r="I24" s="36">
        <f t="shared" si="0"/>
        <v>3445.4592</v>
      </c>
      <c r="J24" s="20" t="s">
        <v>12</v>
      </c>
      <c r="K24" s="32"/>
      <c r="L24" s="32"/>
      <c r="P24" s="33" t="s">
        <v>1060</v>
      </c>
      <c r="Q24" s="33" t="s">
        <v>1061</v>
      </c>
    </row>
    <row r="25" ht="22.5" customHeight="1" spans="1:16">
      <c r="A25" s="20">
        <v>20</v>
      </c>
      <c r="B25" s="20" t="s">
        <v>31</v>
      </c>
      <c r="C25" s="21" t="s">
        <v>32</v>
      </c>
      <c r="D25" s="8">
        <v>16</v>
      </c>
      <c r="E25" s="8">
        <v>1800</v>
      </c>
      <c r="F25" s="8">
        <v>7710</v>
      </c>
      <c r="G25" s="20" t="s">
        <v>33</v>
      </c>
      <c r="H25" s="8">
        <v>1</v>
      </c>
      <c r="I25" s="36">
        <f t="shared" si="0"/>
        <v>1743.0768</v>
      </c>
      <c r="J25" s="20" t="s">
        <v>12</v>
      </c>
      <c r="K25" s="32"/>
      <c r="L25" s="32"/>
      <c r="P25" s="33" t="s">
        <v>1062</v>
      </c>
    </row>
    <row r="26" ht="22.5" customHeight="1" spans="1:16">
      <c r="A26" s="20">
        <v>21</v>
      </c>
      <c r="B26" s="20" t="s">
        <v>31</v>
      </c>
      <c r="C26" s="21" t="s">
        <v>32</v>
      </c>
      <c r="D26" s="8">
        <v>16</v>
      </c>
      <c r="E26" s="8">
        <v>1800</v>
      </c>
      <c r="F26" s="8">
        <v>7840</v>
      </c>
      <c r="G26" s="20" t="s">
        <v>33</v>
      </c>
      <c r="H26" s="8">
        <v>1</v>
      </c>
      <c r="I26" s="36">
        <f t="shared" si="0"/>
        <v>1772.4672</v>
      </c>
      <c r="J26" s="20" t="s">
        <v>12</v>
      </c>
      <c r="K26" s="32"/>
      <c r="L26" s="32"/>
      <c r="P26" s="33" t="s">
        <v>1063</v>
      </c>
    </row>
    <row r="27" ht="22.5" customHeight="1" spans="1:17">
      <c r="A27" s="20">
        <v>22</v>
      </c>
      <c r="B27" s="20" t="s">
        <v>31</v>
      </c>
      <c r="C27" s="21" t="s">
        <v>32</v>
      </c>
      <c r="D27" s="8">
        <v>16</v>
      </c>
      <c r="E27" s="8">
        <v>1800</v>
      </c>
      <c r="F27" s="8">
        <v>8020</v>
      </c>
      <c r="G27" s="20" t="s">
        <v>33</v>
      </c>
      <c r="H27" s="8">
        <v>2</v>
      </c>
      <c r="I27" s="36">
        <f t="shared" si="0"/>
        <v>3626.3232</v>
      </c>
      <c r="J27" s="20" t="s">
        <v>12</v>
      </c>
      <c r="K27" s="32"/>
      <c r="L27" s="32"/>
      <c r="P27" s="33" t="s">
        <v>1064</v>
      </c>
      <c r="Q27" s="33" t="s">
        <v>1065</v>
      </c>
    </row>
    <row r="28" ht="22.5" customHeight="1" spans="1:16">
      <c r="A28" s="20">
        <v>23</v>
      </c>
      <c r="B28" s="20" t="s">
        <v>31</v>
      </c>
      <c r="C28" s="21" t="s">
        <v>32</v>
      </c>
      <c r="D28" s="8">
        <v>16</v>
      </c>
      <c r="E28" s="8">
        <v>1800</v>
      </c>
      <c r="F28" s="8">
        <v>8040</v>
      </c>
      <c r="G28" s="20" t="s">
        <v>33</v>
      </c>
      <c r="H28" s="8">
        <v>1</v>
      </c>
      <c r="I28" s="36">
        <f t="shared" si="0"/>
        <v>1817.6832</v>
      </c>
      <c r="J28" s="20" t="s">
        <v>12</v>
      </c>
      <c r="K28" s="32"/>
      <c r="L28" s="32"/>
      <c r="P28" s="33" t="s">
        <v>1066</v>
      </c>
    </row>
    <row r="29" ht="22.5" customHeight="1" spans="1:16">
      <c r="A29" s="20">
        <v>24</v>
      </c>
      <c r="B29" s="20" t="s">
        <v>31</v>
      </c>
      <c r="C29" s="21" t="s">
        <v>32</v>
      </c>
      <c r="D29" s="8">
        <v>16</v>
      </c>
      <c r="E29" s="8">
        <v>1800</v>
      </c>
      <c r="F29" s="8">
        <v>8110</v>
      </c>
      <c r="G29" s="20" t="s">
        <v>33</v>
      </c>
      <c r="H29" s="8">
        <v>1</v>
      </c>
      <c r="I29" s="36">
        <f t="shared" si="0"/>
        <v>1833.5088</v>
      </c>
      <c r="J29" s="20" t="s">
        <v>12</v>
      </c>
      <c r="K29" s="32"/>
      <c r="L29" s="32"/>
      <c r="P29" s="33" t="s">
        <v>1067</v>
      </c>
    </row>
    <row r="30" ht="22.5" customHeight="1" spans="1:16">
      <c r="A30" s="20">
        <v>25</v>
      </c>
      <c r="B30" s="20" t="s">
        <v>31</v>
      </c>
      <c r="C30" s="21" t="s">
        <v>32</v>
      </c>
      <c r="D30" s="8">
        <v>16</v>
      </c>
      <c r="E30" s="8">
        <v>1800</v>
      </c>
      <c r="F30" s="8">
        <v>10000</v>
      </c>
      <c r="G30" s="20" t="s">
        <v>33</v>
      </c>
      <c r="H30" s="8">
        <v>1</v>
      </c>
      <c r="I30" s="36">
        <f t="shared" si="0"/>
        <v>2260.8</v>
      </c>
      <c r="J30" s="20" t="s">
        <v>12</v>
      </c>
      <c r="K30" s="32"/>
      <c r="L30" s="32"/>
      <c r="P30" s="33" t="s">
        <v>1068</v>
      </c>
    </row>
    <row r="31" ht="22.5" customHeight="1" spans="1:16">
      <c r="A31" s="20">
        <v>26</v>
      </c>
      <c r="B31" s="20" t="s">
        <v>31</v>
      </c>
      <c r="C31" s="21" t="s">
        <v>32</v>
      </c>
      <c r="D31" s="8">
        <v>16</v>
      </c>
      <c r="E31" s="8">
        <v>2000</v>
      </c>
      <c r="F31" s="8">
        <v>7440</v>
      </c>
      <c r="G31" s="20" t="s">
        <v>33</v>
      </c>
      <c r="H31" s="8">
        <v>1</v>
      </c>
      <c r="I31" s="36">
        <f t="shared" si="0"/>
        <v>1868.928</v>
      </c>
      <c r="J31" s="20" t="s">
        <v>11</v>
      </c>
      <c r="K31" s="32"/>
      <c r="L31" s="32"/>
      <c r="P31" s="33" t="s">
        <v>1069</v>
      </c>
    </row>
    <row r="32" ht="22.5" customHeight="1" spans="1:16">
      <c r="A32" s="20">
        <v>27</v>
      </c>
      <c r="B32" s="20" t="s">
        <v>31</v>
      </c>
      <c r="C32" s="21" t="s">
        <v>32</v>
      </c>
      <c r="D32" s="8">
        <v>16</v>
      </c>
      <c r="E32" s="8">
        <v>2000</v>
      </c>
      <c r="F32" s="8">
        <v>8020</v>
      </c>
      <c r="G32" s="20" t="s">
        <v>33</v>
      </c>
      <c r="H32" s="8">
        <v>1</v>
      </c>
      <c r="I32" s="36">
        <f t="shared" si="0"/>
        <v>2014.624</v>
      </c>
      <c r="J32" s="20" t="s">
        <v>34</v>
      </c>
      <c r="K32" s="32"/>
      <c r="L32" s="32"/>
      <c r="P32" s="33" t="s">
        <v>1070</v>
      </c>
    </row>
    <row r="33" ht="22.5" customHeight="1" spans="1:16">
      <c r="A33" s="20">
        <v>28</v>
      </c>
      <c r="B33" s="20" t="s">
        <v>31</v>
      </c>
      <c r="C33" s="21" t="s">
        <v>32</v>
      </c>
      <c r="D33" s="8">
        <v>16</v>
      </c>
      <c r="E33" s="8">
        <v>2000</v>
      </c>
      <c r="F33" s="8">
        <v>8040</v>
      </c>
      <c r="G33" s="20" t="s">
        <v>33</v>
      </c>
      <c r="H33" s="8">
        <v>1</v>
      </c>
      <c r="I33" s="36">
        <f t="shared" si="0"/>
        <v>2019.648</v>
      </c>
      <c r="J33" s="20" t="s">
        <v>34</v>
      </c>
      <c r="K33" s="17">
        <f>SUM(I9:I33)</f>
        <v>69313.7416</v>
      </c>
      <c r="L33" s="32">
        <f>[8]Sheet3!$M$28</f>
        <v>65905.94984</v>
      </c>
      <c r="N33">
        <f>SUM(I9:I33)</f>
        <v>69313.7416</v>
      </c>
      <c r="O33">
        <f>[20]Sheet2!$O$27</f>
        <v>69313.7416</v>
      </c>
      <c r="P33" s="33" t="s">
        <v>1071</v>
      </c>
    </row>
    <row r="34" ht="16.5" spans="1:13">
      <c r="A34" s="5" t="s">
        <v>40</v>
      </c>
      <c r="B34" s="5"/>
      <c r="C34" s="5"/>
      <c r="D34" s="5"/>
      <c r="E34" s="5"/>
      <c r="F34" s="5"/>
      <c r="G34" s="5"/>
      <c r="H34" s="5"/>
      <c r="I34" s="34">
        <f>SUM(I6:I33)</f>
        <v>73665.7816</v>
      </c>
      <c r="J34" s="13"/>
      <c r="K34">
        <v>70220.23448</v>
      </c>
      <c r="L34">
        <f>[6]D桥估料表!$G$186</f>
        <v>88721.4807296</v>
      </c>
      <c r="M34">
        <v>88721.4807296</v>
      </c>
    </row>
    <row r="35" ht="16.5" spans="1:10">
      <c r="A35" s="22" t="s">
        <v>41</v>
      </c>
      <c r="B35" s="22"/>
      <c r="C35" s="22"/>
      <c r="D35" s="22"/>
      <c r="E35" s="22"/>
      <c r="F35" s="22"/>
      <c r="G35" s="22"/>
      <c r="H35" s="22"/>
      <c r="I35" s="22"/>
      <c r="J35" s="22"/>
    </row>
    <row r="36" ht="16.5" spans="1:10">
      <c r="A36" s="22" t="s">
        <v>401</v>
      </c>
      <c r="B36" s="22"/>
      <c r="C36" s="22"/>
      <c r="D36" s="22"/>
      <c r="E36" s="22"/>
      <c r="F36" s="22"/>
      <c r="G36" s="22"/>
      <c r="H36" s="22"/>
      <c r="I36" s="22"/>
      <c r="J36" s="22"/>
    </row>
    <row r="37" ht="16.5" spans="1:10">
      <c r="A37" s="16" t="s">
        <v>1072</v>
      </c>
      <c r="B37" s="17"/>
      <c r="C37" s="17"/>
      <c r="D37" s="17"/>
      <c r="E37" s="17"/>
      <c r="F37" s="17"/>
      <c r="G37" s="17"/>
      <c r="H37" s="17"/>
      <c r="I37" s="17"/>
      <c r="J37" s="17"/>
    </row>
  </sheetData>
  <autoFilter ref="A5:J37">
    <sortState ref="A5:J37">
      <sortCondition ref="E5"/>
    </sortState>
    <extLst/>
  </autoFilter>
  <mergeCells count="7">
    <mergeCell ref="A1:J1"/>
    <mergeCell ref="A2:J2"/>
    <mergeCell ref="A3:F3"/>
    <mergeCell ref="A34:H34"/>
    <mergeCell ref="A35:J35"/>
    <mergeCell ref="A36:J36"/>
    <mergeCell ref="A37:J37"/>
  </mergeCells>
  <pageMargins left="0.751388888888889" right="0.751388888888889" top="1" bottom="1" header="0.5" footer="0.5"/>
  <pageSetup paperSize="9" orientation="portrait" horizontalDpi="600"/>
  <headerFooter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9"/>
  <dimension ref="A1:R61"/>
  <sheetViews>
    <sheetView workbookViewId="0">
      <selection activeCell="U15" sqref="U15"/>
    </sheetView>
  </sheetViews>
  <sheetFormatPr defaultColWidth="9" defaultRowHeight="13.5"/>
  <cols>
    <col min="1" max="2" width="8.675" customWidth="1"/>
    <col min="3" max="3" width="10.3416666666667" customWidth="1"/>
    <col min="4" max="4" width="8.875" customWidth="1"/>
    <col min="5" max="5" width="7.875" customWidth="1"/>
    <col min="6" max="6" width="9" customWidth="1"/>
    <col min="7" max="7" width="6.625" customWidth="1"/>
    <col min="8" max="8" width="5.625" customWidth="1"/>
    <col min="9" max="9" width="9.75" style="14" customWidth="1"/>
    <col min="10" max="10" width="12.3416666666667" customWidth="1"/>
    <col min="11" max="12" width="15.3416666666667" hidden="1" customWidth="1"/>
    <col min="13" max="13" width="9" hidden="1" customWidth="1"/>
    <col min="14" max="14" width="12.625" hidden="1" customWidth="1"/>
    <col min="15" max="19" width="9" hidden="1" customWidth="1"/>
  </cols>
  <sheetData>
    <row r="1" ht="28.5" customHeight="1" spans="1:12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  <c r="K1" s="24"/>
      <c r="L1" s="24"/>
    </row>
    <row r="2" ht="28.5" customHeight="1" spans="1:12">
      <c r="A2" s="15" t="s">
        <v>20</v>
      </c>
      <c r="B2" s="15"/>
      <c r="C2" s="15"/>
      <c r="D2" s="15"/>
      <c r="E2" s="15"/>
      <c r="F2" s="15"/>
      <c r="G2" s="15"/>
      <c r="H2" s="15"/>
      <c r="I2" s="23"/>
      <c r="J2" s="15"/>
      <c r="K2" s="24"/>
      <c r="L2" s="24"/>
    </row>
    <row r="3" ht="22.5" customHeight="1" spans="1:12">
      <c r="A3" s="16" t="s">
        <v>21</v>
      </c>
      <c r="B3" s="17"/>
      <c r="C3" s="17"/>
      <c r="D3" s="17"/>
      <c r="E3" s="17"/>
      <c r="F3" s="17"/>
      <c r="G3" s="17"/>
      <c r="H3" s="17"/>
      <c r="I3" s="25"/>
      <c r="J3" s="26"/>
      <c r="K3" s="27"/>
      <c r="L3" s="27"/>
    </row>
    <row r="4" ht="22.5" customHeight="1" spans="1:12">
      <c r="A4" s="18" t="s">
        <v>1073</v>
      </c>
      <c r="B4" s="19"/>
      <c r="C4" s="19"/>
      <c r="D4" s="17"/>
      <c r="E4" s="19"/>
      <c r="F4" s="19"/>
      <c r="G4" s="17"/>
      <c r="H4" s="17"/>
      <c r="I4" s="28"/>
      <c r="J4" s="26"/>
      <c r="K4" s="27"/>
      <c r="L4" s="27"/>
    </row>
    <row r="5" ht="22.5" customHeight="1" spans="1:12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29" t="s">
        <v>29</v>
      </c>
      <c r="J5" s="11" t="s">
        <v>30</v>
      </c>
      <c r="K5" s="30"/>
      <c r="L5" s="30"/>
    </row>
    <row r="6" ht="16.5" spans="1:15">
      <c r="A6" s="20">
        <v>1</v>
      </c>
      <c r="B6" s="20" t="s">
        <v>31</v>
      </c>
      <c r="C6" s="21" t="s">
        <v>32</v>
      </c>
      <c r="D6" s="8">
        <v>16</v>
      </c>
      <c r="E6" s="8">
        <v>1500</v>
      </c>
      <c r="F6" s="8">
        <v>7410</v>
      </c>
      <c r="G6" s="20" t="s">
        <v>33</v>
      </c>
      <c r="H6" s="8">
        <v>1</v>
      </c>
      <c r="I6" s="31">
        <f>D6*E6*F6*H6*7.85/1000/1000</f>
        <v>1396.044</v>
      </c>
      <c r="J6" s="20" t="s">
        <v>11</v>
      </c>
      <c r="K6" s="32"/>
      <c r="L6" s="32"/>
      <c r="O6" s="33" t="s">
        <v>1074</v>
      </c>
    </row>
    <row r="7" ht="16.5" spans="1:15">
      <c r="A7" s="20">
        <v>2</v>
      </c>
      <c r="B7" s="20" t="s">
        <v>31</v>
      </c>
      <c r="C7" s="21" t="s">
        <v>32</v>
      </c>
      <c r="D7" s="8">
        <v>16</v>
      </c>
      <c r="E7" s="8">
        <v>1500</v>
      </c>
      <c r="F7" s="8">
        <v>7430</v>
      </c>
      <c r="G7" s="20" t="s">
        <v>33</v>
      </c>
      <c r="H7" s="8">
        <v>1</v>
      </c>
      <c r="I7" s="31">
        <f t="shared" ref="I7:I38" si="0">D7*E7*F7*H7*7.85/1000/1000</f>
        <v>1399.812</v>
      </c>
      <c r="J7" s="20" t="s">
        <v>11</v>
      </c>
      <c r="K7" s="32"/>
      <c r="L7" s="32"/>
      <c r="O7" s="33" t="s">
        <v>1075</v>
      </c>
    </row>
    <row r="8" ht="16.5" spans="1:15">
      <c r="A8" s="20">
        <v>3</v>
      </c>
      <c r="B8" s="20" t="s">
        <v>31</v>
      </c>
      <c r="C8" s="21" t="s">
        <v>32</v>
      </c>
      <c r="D8" s="8">
        <v>16</v>
      </c>
      <c r="E8" s="8">
        <v>1500</v>
      </c>
      <c r="F8" s="8">
        <v>7450</v>
      </c>
      <c r="G8" s="20" t="s">
        <v>33</v>
      </c>
      <c r="H8" s="8">
        <v>1</v>
      </c>
      <c r="I8" s="31">
        <f t="shared" si="0"/>
        <v>1403.58</v>
      </c>
      <c r="J8" s="20" t="s">
        <v>11</v>
      </c>
      <c r="K8" s="32"/>
      <c r="L8" s="32"/>
      <c r="O8" s="33" t="s">
        <v>1076</v>
      </c>
    </row>
    <row r="9" ht="16.5" spans="1:15">
      <c r="A9" s="20">
        <v>4</v>
      </c>
      <c r="B9" s="20" t="s">
        <v>31</v>
      </c>
      <c r="C9" s="21" t="s">
        <v>32</v>
      </c>
      <c r="D9" s="8">
        <v>16</v>
      </c>
      <c r="E9" s="8">
        <v>1500</v>
      </c>
      <c r="F9" s="8">
        <v>7730</v>
      </c>
      <c r="G9" s="20" t="s">
        <v>33</v>
      </c>
      <c r="H9" s="8">
        <v>1</v>
      </c>
      <c r="I9" s="31">
        <f t="shared" si="0"/>
        <v>1456.332</v>
      </c>
      <c r="J9" s="20" t="s">
        <v>11</v>
      </c>
      <c r="K9" s="32"/>
      <c r="L9" s="32"/>
      <c r="O9" s="33" t="s">
        <v>1077</v>
      </c>
    </row>
    <row r="10" ht="16.5" spans="1:15">
      <c r="A10" s="20">
        <v>5</v>
      </c>
      <c r="B10" s="20" t="s">
        <v>31</v>
      </c>
      <c r="C10" s="21" t="s">
        <v>32</v>
      </c>
      <c r="D10" s="8">
        <v>16</v>
      </c>
      <c r="E10" s="8">
        <v>1500</v>
      </c>
      <c r="F10" s="8">
        <v>7780</v>
      </c>
      <c r="G10" s="20" t="s">
        <v>33</v>
      </c>
      <c r="H10" s="8">
        <v>1</v>
      </c>
      <c r="I10" s="31">
        <f t="shared" si="0"/>
        <v>1465.752</v>
      </c>
      <c r="J10" s="20" t="s">
        <v>11</v>
      </c>
      <c r="K10" s="32"/>
      <c r="L10" s="32"/>
      <c r="O10" s="33" t="s">
        <v>1077</v>
      </c>
    </row>
    <row r="11" ht="16.5" spans="1:15">
      <c r="A11" s="20">
        <v>6</v>
      </c>
      <c r="B11" s="20" t="s">
        <v>31</v>
      </c>
      <c r="C11" s="21" t="s">
        <v>32</v>
      </c>
      <c r="D11" s="8">
        <v>16</v>
      </c>
      <c r="E11" s="8">
        <v>1500</v>
      </c>
      <c r="F11" s="8">
        <v>8040</v>
      </c>
      <c r="G11" s="20" t="s">
        <v>33</v>
      </c>
      <c r="H11" s="8">
        <v>1</v>
      </c>
      <c r="I11" s="31">
        <f t="shared" si="0"/>
        <v>1514.736</v>
      </c>
      <c r="J11" s="20" t="s">
        <v>34</v>
      </c>
      <c r="K11" s="32"/>
      <c r="L11" s="32"/>
      <c r="O11" s="33" t="s">
        <v>1078</v>
      </c>
    </row>
    <row r="12" ht="16.5" spans="1:15">
      <c r="A12" s="20">
        <v>7</v>
      </c>
      <c r="B12" s="20" t="s">
        <v>31</v>
      </c>
      <c r="C12" s="21" t="s">
        <v>32</v>
      </c>
      <c r="D12" s="8">
        <v>16</v>
      </c>
      <c r="E12" s="8">
        <v>1500</v>
      </c>
      <c r="F12" s="8">
        <v>8050</v>
      </c>
      <c r="G12" s="20" t="s">
        <v>33</v>
      </c>
      <c r="H12" s="8">
        <v>1</v>
      </c>
      <c r="I12" s="31">
        <f t="shared" si="0"/>
        <v>1516.62</v>
      </c>
      <c r="J12" s="20" t="s">
        <v>34</v>
      </c>
      <c r="K12" s="32"/>
      <c r="L12" s="32"/>
      <c r="O12" s="33" t="s">
        <v>1079</v>
      </c>
    </row>
    <row r="13" ht="16.5" spans="1:16">
      <c r="A13" s="20">
        <v>8</v>
      </c>
      <c r="B13" s="20" t="s">
        <v>31</v>
      </c>
      <c r="C13" s="21" t="s">
        <v>32</v>
      </c>
      <c r="D13" s="8">
        <v>16</v>
      </c>
      <c r="E13" s="8">
        <v>1800</v>
      </c>
      <c r="F13" s="8">
        <v>7240</v>
      </c>
      <c r="G13" s="20" t="s">
        <v>33</v>
      </c>
      <c r="H13" s="8">
        <v>2</v>
      </c>
      <c r="I13" s="31">
        <f t="shared" si="0"/>
        <v>3273.6384</v>
      </c>
      <c r="J13" s="20" t="s">
        <v>11</v>
      </c>
      <c r="K13" s="32"/>
      <c r="L13" s="32"/>
      <c r="O13" s="33" t="s">
        <v>1080</v>
      </c>
      <c r="P13" s="33" t="s">
        <v>1081</v>
      </c>
    </row>
    <row r="14" ht="16.5" spans="1:15">
      <c r="A14" s="20">
        <v>9</v>
      </c>
      <c r="B14" s="20" t="s">
        <v>31</v>
      </c>
      <c r="C14" s="21" t="s">
        <v>32</v>
      </c>
      <c r="D14" s="8">
        <v>16</v>
      </c>
      <c r="E14" s="8">
        <v>1800</v>
      </c>
      <c r="F14" s="8">
        <v>7250</v>
      </c>
      <c r="G14" s="20" t="s">
        <v>33</v>
      </c>
      <c r="H14" s="8">
        <v>1</v>
      </c>
      <c r="I14" s="31">
        <f t="shared" si="0"/>
        <v>1639.08</v>
      </c>
      <c r="J14" s="20" t="s">
        <v>11</v>
      </c>
      <c r="K14" s="32"/>
      <c r="L14" s="32"/>
      <c r="O14" s="33" t="s">
        <v>1082</v>
      </c>
    </row>
    <row r="15" ht="16.5" spans="1:15">
      <c r="A15" s="20">
        <v>10</v>
      </c>
      <c r="B15" s="20" t="s">
        <v>31</v>
      </c>
      <c r="C15" s="21" t="s">
        <v>32</v>
      </c>
      <c r="D15" s="8">
        <v>16</v>
      </c>
      <c r="E15" s="8">
        <v>1800</v>
      </c>
      <c r="F15" s="8">
        <v>7310</v>
      </c>
      <c r="G15" s="20" t="s">
        <v>33</v>
      </c>
      <c r="H15" s="8">
        <v>1</v>
      </c>
      <c r="I15" s="31">
        <f t="shared" si="0"/>
        <v>1652.6448</v>
      </c>
      <c r="J15" s="20" t="s">
        <v>11</v>
      </c>
      <c r="K15" s="32"/>
      <c r="L15" s="32"/>
      <c r="O15" s="33" t="s">
        <v>1083</v>
      </c>
    </row>
    <row r="16" ht="16.5" spans="1:15">
      <c r="A16" s="20">
        <v>11</v>
      </c>
      <c r="B16" s="20" t="s">
        <v>31</v>
      </c>
      <c r="C16" s="21" t="s">
        <v>32</v>
      </c>
      <c r="D16" s="8">
        <v>16</v>
      </c>
      <c r="E16" s="8">
        <v>1800</v>
      </c>
      <c r="F16" s="8">
        <v>7340</v>
      </c>
      <c r="G16" s="20" t="s">
        <v>33</v>
      </c>
      <c r="H16" s="8">
        <v>1</v>
      </c>
      <c r="I16" s="31">
        <f t="shared" si="0"/>
        <v>1659.4272</v>
      </c>
      <c r="J16" s="20" t="s">
        <v>11</v>
      </c>
      <c r="K16" s="32"/>
      <c r="L16" s="32"/>
      <c r="O16" s="33" t="s">
        <v>1084</v>
      </c>
    </row>
    <row r="17" ht="16.5" spans="1:15">
      <c r="A17" s="20">
        <v>12</v>
      </c>
      <c r="B17" s="20" t="s">
        <v>31</v>
      </c>
      <c r="C17" s="21" t="s">
        <v>32</v>
      </c>
      <c r="D17" s="8">
        <v>16</v>
      </c>
      <c r="E17" s="8">
        <v>1800</v>
      </c>
      <c r="F17" s="8">
        <v>7510</v>
      </c>
      <c r="G17" s="20" t="s">
        <v>33</v>
      </c>
      <c r="H17" s="8">
        <v>1</v>
      </c>
      <c r="I17" s="31">
        <f t="shared" si="0"/>
        <v>1697.8608</v>
      </c>
      <c r="J17" s="20" t="s">
        <v>11</v>
      </c>
      <c r="K17" s="32"/>
      <c r="L17" s="32"/>
      <c r="O17" s="33" t="s">
        <v>1085</v>
      </c>
    </row>
    <row r="18" ht="16.5" spans="1:15">
      <c r="A18" s="20">
        <v>13</v>
      </c>
      <c r="B18" s="20" t="s">
        <v>31</v>
      </c>
      <c r="C18" s="21" t="s">
        <v>32</v>
      </c>
      <c r="D18" s="8">
        <v>16</v>
      </c>
      <c r="E18" s="8">
        <v>1800</v>
      </c>
      <c r="F18" s="8">
        <v>7640</v>
      </c>
      <c r="G18" s="20" t="s">
        <v>33</v>
      </c>
      <c r="H18" s="8">
        <v>1</v>
      </c>
      <c r="I18" s="31">
        <f t="shared" si="0"/>
        <v>1727.2512</v>
      </c>
      <c r="J18" s="20" t="s">
        <v>12</v>
      </c>
      <c r="K18" s="32"/>
      <c r="L18" s="32"/>
      <c r="O18" s="33" t="s">
        <v>1086</v>
      </c>
    </row>
    <row r="19" ht="16.5" spans="1:15">
      <c r="A19" s="20">
        <v>14</v>
      </c>
      <c r="B19" s="20" t="s">
        <v>31</v>
      </c>
      <c r="C19" s="21" t="s">
        <v>32</v>
      </c>
      <c r="D19" s="8">
        <v>16</v>
      </c>
      <c r="E19" s="8">
        <v>1800</v>
      </c>
      <c r="F19" s="8">
        <v>7680</v>
      </c>
      <c r="G19" s="20" t="s">
        <v>33</v>
      </c>
      <c r="H19" s="8">
        <v>1</v>
      </c>
      <c r="I19" s="31">
        <f t="shared" si="0"/>
        <v>1736.2944</v>
      </c>
      <c r="J19" s="20" t="s">
        <v>11</v>
      </c>
      <c r="K19" s="32"/>
      <c r="L19" s="32"/>
      <c r="O19" s="33" t="s">
        <v>1087</v>
      </c>
    </row>
    <row r="20" ht="16.5" spans="1:16">
      <c r="A20" s="20">
        <v>15</v>
      </c>
      <c r="B20" s="20" t="s">
        <v>31</v>
      </c>
      <c r="C20" s="21" t="s">
        <v>32</v>
      </c>
      <c r="D20" s="8">
        <v>16</v>
      </c>
      <c r="E20" s="8">
        <v>1800</v>
      </c>
      <c r="F20" s="8">
        <v>7760</v>
      </c>
      <c r="G20" s="20" t="s">
        <v>33</v>
      </c>
      <c r="H20" s="8">
        <v>2</v>
      </c>
      <c r="I20" s="31">
        <f t="shared" si="0"/>
        <v>3508.7616</v>
      </c>
      <c r="J20" s="20" t="s">
        <v>11</v>
      </c>
      <c r="K20" s="32"/>
      <c r="L20" s="32"/>
      <c r="O20" s="33" t="s">
        <v>1088</v>
      </c>
      <c r="P20" s="33" t="s">
        <v>1089</v>
      </c>
    </row>
    <row r="21" ht="16.5" spans="1:15">
      <c r="A21" s="20">
        <v>16</v>
      </c>
      <c r="B21" s="20" t="s">
        <v>31</v>
      </c>
      <c r="C21" s="21" t="s">
        <v>32</v>
      </c>
      <c r="D21" s="8">
        <v>16</v>
      </c>
      <c r="E21" s="8">
        <v>1800</v>
      </c>
      <c r="F21" s="8">
        <v>7770</v>
      </c>
      <c r="G21" s="20" t="s">
        <v>33</v>
      </c>
      <c r="H21" s="8">
        <v>1</v>
      </c>
      <c r="I21" s="31">
        <f t="shared" si="0"/>
        <v>1756.6416</v>
      </c>
      <c r="J21" s="20" t="s">
        <v>11</v>
      </c>
      <c r="K21" s="32"/>
      <c r="L21" s="32"/>
      <c r="O21" s="33" t="s">
        <v>1090</v>
      </c>
    </row>
    <row r="22" ht="16.5" spans="1:15">
      <c r="A22" s="20">
        <v>17</v>
      </c>
      <c r="B22" s="20" t="s">
        <v>31</v>
      </c>
      <c r="C22" s="21" t="s">
        <v>32</v>
      </c>
      <c r="D22" s="8">
        <v>16</v>
      </c>
      <c r="E22" s="8">
        <v>1800</v>
      </c>
      <c r="F22" s="8">
        <v>7900</v>
      </c>
      <c r="G22" s="20" t="s">
        <v>33</v>
      </c>
      <c r="H22" s="8">
        <v>1</v>
      </c>
      <c r="I22" s="31">
        <f t="shared" si="0"/>
        <v>1786.032</v>
      </c>
      <c r="J22" s="20" t="s">
        <v>11</v>
      </c>
      <c r="K22" s="32"/>
      <c r="L22" s="32"/>
      <c r="O22" s="33" t="s">
        <v>1091</v>
      </c>
    </row>
    <row r="23" ht="16.5" spans="1:15">
      <c r="A23" s="20">
        <v>18</v>
      </c>
      <c r="B23" s="20" t="s">
        <v>31</v>
      </c>
      <c r="C23" s="21" t="s">
        <v>32</v>
      </c>
      <c r="D23" s="8">
        <v>16</v>
      </c>
      <c r="E23" s="8">
        <v>1800</v>
      </c>
      <c r="F23" s="8">
        <v>8000</v>
      </c>
      <c r="G23" s="20" t="s">
        <v>33</v>
      </c>
      <c r="H23" s="8">
        <v>1</v>
      </c>
      <c r="I23" s="31">
        <f t="shared" si="0"/>
        <v>1808.64</v>
      </c>
      <c r="J23" s="20" t="s">
        <v>12</v>
      </c>
      <c r="K23" s="32"/>
      <c r="L23" s="32"/>
      <c r="O23" s="33" t="s">
        <v>1092</v>
      </c>
    </row>
    <row r="24" ht="16.5" spans="1:15">
      <c r="A24" s="20">
        <v>19</v>
      </c>
      <c r="B24" s="20" t="s">
        <v>31</v>
      </c>
      <c r="C24" s="21" t="s">
        <v>32</v>
      </c>
      <c r="D24" s="8">
        <v>16</v>
      </c>
      <c r="E24" s="8">
        <v>1800</v>
      </c>
      <c r="F24" s="8">
        <v>8060</v>
      </c>
      <c r="G24" s="20" t="s">
        <v>33</v>
      </c>
      <c r="H24" s="8">
        <v>1</v>
      </c>
      <c r="I24" s="31">
        <f t="shared" si="0"/>
        <v>1822.2048</v>
      </c>
      <c r="J24" s="20" t="s">
        <v>34</v>
      </c>
      <c r="K24" s="32"/>
      <c r="L24" s="32"/>
      <c r="O24" s="33" t="s">
        <v>1093</v>
      </c>
    </row>
    <row r="25" ht="16.5" spans="1:15">
      <c r="A25" s="20">
        <v>20</v>
      </c>
      <c r="B25" s="20" t="s">
        <v>31</v>
      </c>
      <c r="C25" s="21" t="s">
        <v>32</v>
      </c>
      <c r="D25" s="8">
        <v>16</v>
      </c>
      <c r="E25" s="8">
        <v>1800</v>
      </c>
      <c r="F25" s="8">
        <v>8080</v>
      </c>
      <c r="G25" s="20" t="s">
        <v>33</v>
      </c>
      <c r="H25" s="8">
        <v>1</v>
      </c>
      <c r="I25" s="31">
        <f t="shared" si="0"/>
        <v>1826.7264</v>
      </c>
      <c r="J25" s="20" t="s">
        <v>12</v>
      </c>
      <c r="K25" s="32"/>
      <c r="L25" s="32"/>
      <c r="O25" s="33" t="s">
        <v>1094</v>
      </c>
    </row>
    <row r="26" ht="16.5" spans="1:15">
      <c r="A26" s="20">
        <v>21</v>
      </c>
      <c r="B26" s="20" t="s">
        <v>31</v>
      </c>
      <c r="C26" s="21" t="s">
        <v>32</v>
      </c>
      <c r="D26" s="8">
        <v>16</v>
      </c>
      <c r="E26" s="8">
        <v>1800</v>
      </c>
      <c r="F26" s="8">
        <v>8090</v>
      </c>
      <c r="G26" s="20" t="s">
        <v>33</v>
      </c>
      <c r="H26" s="8">
        <v>1</v>
      </c>
      <c r="I26" s="31">
        <f t="shared" si="0"/>
        <v>1828.9872</v>
      </c>
      <c r="J26" s="20" t="s">
        <v>34</v>
      </c>
      <c r="K26" s="32"/>
      <c r="L26" s="32"/>
      <c r="O26" s="33" t="s">
        <v>1095</v>
      </c>
    </row>
    <row r="27" ht="16.5" spans="1:16">
      <c r="A27" s="20">
        <v>22</v>
      </c>
      <c r="B27" s="20" t="s">
        <v>31</v>
      </c>
      <c r="C27" s="21" t="s">
        <v>32</v>
      </c>
      <c r="D27" s="8">
        <v>16</v>
      </c>
      <c r="E27" s="8">
        <v>1800</v>
      </c>
      <c r="F27" s="8">
        <v>8120</v>
      </c>
      <c r="G27" s="20" t="s">
        <v>33</v>
      </c>
      <c r="H27" s="8">
        <v>2</v>
      </c>
      <c r="I27" s="31">
        <f t="shared" si="0"/>
        <v>3671.5392</v>
      </c>
      <c r="J27" s="20" t="s">
        <v>34</v>
      </c>
      <c r="K27" s="32"/>
      <c r="L27" s="32"/>
      <c r="O27" s="33" t="s">
        <v>1096</v>
      </c>
      <c r="P27" s="33" t="s">
        <v>1097</v>
      </c>
    </row>
    <row r="28" ht="16.5" spans="1:16">
      <c r="A28" s="20">
        <v>23</v>
      </c>
      <c r="B28" s="20" t="s">
        <v>31</v>
      </c>
      <c r="C28" s="21" t="s">
        <v>32</v>
      </c>
      <c r="D28" s="8">
        <v>16</v>
      </c>
      <c r="E28" s="8">
        <v>1800</v>
      </c>
      <c r="F28" s="8">
        <v>8170</v>
      </c>
      <c r="G28" s="20" t="s">
        <v>33</v>
      </c>
      <c r="H28" s="8">
        <v>2</v>
      </c>
      <c r="I28" s="31">
        <f t="shared" si="0"/>
        <v>3694.1472</v>
      </c>
      <c r="J28" s="20" t="s">
        <v>11</v>
      </c>
      <c r="K28" s="32"/>
      <c r="L28" s="32"/>
      <c r="O28" s="33" t="s">
        <v>1098</v>
      </c>
      <c r="P28" s="33" t="s">
        <v>1099</v>
      </c>
    </row>
    <row r="29" ht="16.5" spans="1:16">
      <c r="A29" s="20">
        <v>24</v>
      </c>
      <c r="B29" s="20" t="s">
        <v>31</v>
      </c>
      <c r="C29" s="21" t="s">
        <v>32</v>
      </c>
      <c r="D29" s="8">
        <v>16</v>
      </c>
      <c r="E29" s="8">
        <v>1800</v>
      </c>
      <c r="F29" s="8">
        <v>8180</v>
      </c>
      <c r="G29" s="20" t="s">
        <v>33</v>
      </c>
      <c r="H29" s="8">
        <v>2</v>
      </c>
      <c r="I29" s="31">
        <f t="shared" si="0"/>
        <v>3698.6688</v>
      </c>
      <c r="J29" s="20" t="s">
        <v>34</v>
      </c>
      <c r="K29" s="32"/>
      <c r="L29" s="32"/>
      <c r="O29" s="33" t="s">
        <v>1100</v>
      </c>
      <c r="P29" s="33" t="s">
        <v>1101</v>
      </c>
    </row>
    <row r="30" ht="16.5" spans="1:15">
      <c r="A30" s="20">
        <v>25</v>
      </c>
      <c r="B30" s="20" t="s">
        <v>31</v>
      </c>
      <c r="C30" s="21" t="s">
        <v>32</v>
      </c>
      <c r="D30" s="8">
        <v>16</v>
      </c>
      <c r="E30" s="8">
        <v>1800</v>
      </c>
      <c r="F30" s="8">
        <v>8200</v>
      </c>
      <c r="G30" s="20" t="s">
        <v>33</v>
      </c>
      <c r="H30" s="8">
        <v>1</v>
      </c>
      <c r="I30" s="31">
        <f t="shared" si="0"/>
        <v>1853.856</v>
      </c>
      <c r="J30" s="20" t="s">
        <v>34</v>
      </c>
      <c r="K30" s="32"/>
      <c r="L30" s="32"/>
      <c r="O30" s="33" t="s">
        <v>1102</v>
      </c>
    </row>
    <row r="31" ht="16.5" spans="1:15">
      <c r="A31" s="20">
        <v>26</v>
      </c>
      <c r="B31" s="20" t="s">
        <v>31</v>
      </c>
      <c r="C31" s="21" t="s">
        <v>32</v>
      </c>
      <c r="D31" s="8">
        <v>16</v>
      </c>
      <c r="E31" s="8">
        <v>1800</v>
      </c>
      <c r="F31" s="8">
        <v>8210</v>
      </c>
      <c r="G31" s="20" t="s">
        <v>33</v>
      </c>
      <c r="H31" s="8">
        <v>1</v>
      </c>
      <c r="I31" s="31">
        <f t="shared" si="0"/>
        <v>1856.1168</v>
      </c>
      <c r="J31" s="20" t="s">
        <v>34</v>
      </c>
      <c r="K31" s="32"/>
      <c r="L31" s="32"/>
      <c r="O31" s="33" t="s">
        <v>1103</v>
      </c>
    </row>
    <row r="32" ht="16.5" spans="1:15">
      <c r="A32" s="20">
        <v>27</v>
      </c>
      <c r="B32" s="20" t="s">
        <v>31</v>
      </c>
      <c r="C32" s="21" t="s">
        <v>32</v>
      </c>
      <c r="D32" s="8">
        <v>16</v>
      </c>
      <c r="E32" s="8">
        <v>1800</v>
      </c>
      <c r="F32" s="8">
        <v>8270</v>
      </c>
      <c r="G32" s="20" t="s">
        <v>33</v>
      </c>
      <c r="H32" s="8">
        <v>1</v>
      </c>
      <c r="I32" s="31">
        <f t="shared" si="0"/>
        <v>1869.6816</v>
      </c>
      <c r="J32" s="20" t="s">
        <v>34</v>
      </c>
      <c r="K32" s="32"/>
      <c r="L32" s="32"/>
      <c r="O32" s="33" t="s">
        <v>1104</v>
      </c>
    </row>
    <row r="33" ht="16.5" spans="1:15">
      <c r="A33" s="20">
        <v>28</v>
      </c>
      <c r="B33" s="20" t="s">
        <v>31</v>
      </c>
      <c r="C33" s="21" t="s">
        <v>32</v>
      </c>
      <c r="D33" s="8">
        <v>16</v>
      </c>
      <c r="E33" s="8">
        <v>1800</v>
      </c>
      <c r="F33" s="8">
        <v>8380</v>
      </c>
      <c r="G33" s="20" t="s">
        <v>33</v>
      </c>
      <c r="H33" s="8">
        <v>1</v>
      </c>
      <c r="I33" s="31">
        <f t="shared" si="0"/>
        <v>1894.5504</v>
      </c>
      <c r="J33" s="20" t="s">
        <v>34</v>
      </c>
      <c r="K33" s="32"/>
      <c r="L33" s="32"/>
      <c r="O33" s="33" t="s">
        <v>1105</v>
      </c>
    </row>
    <row r="34" ht="16.5" spans="1:18">
      <c r="A34" s="20">
        <v>29</v>
      </c>
      <c r="B34" s="20" t="s">
        <v>31</v>
      </c>
      <c r="C34" s="21" t="s">
        <v>32</v>
      </c>
      <c r="D34" s="8">
        <v>16</v>
      </c>
      <c r="E34" s="8">
        <v>1800</v>
      </c>
      <c r="F34" s="8">
        <v>8410</v>
      </c>
      <c r="G34" s="20" t="s">
        <v>33</v>
      </c>
      <c r="H34" s="8">
        <v>4</v>
      </c>
      <c r="I34" s="31">
        <f t="shared" si="0"/>
        <v>7605.3312</v>
      </c>
      <c r="J34" s="20" t="s">
        <v>34</v>
      </c>
      <c r="K34" s="32"/>
      <c r="L34" s="32"/>
      <c r="O34" s="33" t="s">
        <v>1106</v>
      </c>
      <c r="P34" s="33" t="s">
        <v>1107</v>
      </c>
      <c r="Q34" s="33" t="s">
        <v>1108</v>
      </c>
      <c r="R34" s="33" t="s">
        <v>1109</v>
      </c>
    </row>
    <row r="35" ht="16.5" spans="1:15">
      <c r="A35" s="20">
        <v>30</v>
      </c>
      <c r="B35" s="20" t="s">
        <v>31</v>
      </c>
      <c r="C35" s="21" t="s">
        <v>32</v>
      </c>
      <c r="D35" s="8">
        <v>16</v>
      </c>
      <c r="E35" s="8">
        <v>1800</v>
      </c>
      <c r="F35" s="8">
        <v>8440</v>
      </c>
      <c r="G35" s="20" t="s">
        <v>33</v>
      </c>
      <c r="H35" s="8">
        <v>1</v>
      </c>
      <c r="I35" s="31">
        <f t="shared" si="0"/>
        <v>1908.1152</v>
      </c>
      <c r="J35" s="20" t="s">
        <v>12</v>
      </c>
      <c r="K35" s="32"/>
      <c r="L35" s="32"/>
      <c r="O35" s="33" t="s">
        <v>1110</v>
      </c>
    </row>
    <row r="36" ht="16.5" spans="1:15">
      <c r="A36" s="20">
        <v>31</v>
      </c>
      <c r="B36" s="20" t="s">
        <v>31</v>
      </c>
      <c r="C36" s="21" t="s">
        <v>32</v>
      </c>
      <c r="D36" s="8">
        <v>16</v>
      </c>
      <c r="E36" s="8">
        <v>1800</v>
      </c>
      <c r="F36" s="8">
        <v>8640</v>
      </c>
      <c r="G36" s="20" t="s">
        <v>33</v>
      </c>
      <c r="H36" s="8">
        <v>1</v>
      </c>
      <c r="I36" s="31">
        <f t="shared" si="0"/>
        <v>1953.3312</v>
      </c>
      <c r="J36" s="20" t="s">
        <v>12</v>
      </c>
      <c r="K36" s="32"/>
      <c r="L36" s="32"/>
      <c r="O36" s="33" t="s">
        <v>1111</v>
      </c>
    </row>
    <row r="37" ht="16.5" spans="1:15">
      <c r="A37" s="20">
        <v>32</v>
      </c>
      <c r="B37" s="20" t="s">
        <v>31</v>
      </c>
      <c r="C37" s="21" t="s">
        <v>32</v>
      </c>
      <c r="D37" s="8">
        <v>16</v>
      </c>
      <c r="E37" s="8">
        <v>1800</v>
      </c>
      <c r="F37" s="8">
        <v>9660</v>
      </c>
      <c r="G37" s="20" t="s">
        <v>33</v>
      </c>
      <c r="H37" s="8">
        <v>1</v>
      </c>
      <c r="I37" s="31">
        <f t="shared" si="0"/>
        <v>2183.9328</v>
      </c>
      <c r="J37" s="20" t="s">
        <v>11</v>
      </c>
      <c r="K37" s="32"/>
      <c r="L37" s="32"/>
      <c r="O37" s="33" t="s">
        <v>1112</v>
      </c>
    </row>
    <row r="38" ht="16.5" spans="1:15">
      <c r="A38" s="20">
        <v>33</v>
      </c>
      <c r="B38" s="20" t="s">
        <v>31</v>
      </c>
      <c r="C38" s="21" t="s">
        <v>32</v>
      </c>
      <c r="D38" s="8">
        <v>16</v>
      </c>
      <c r="E38" s="8">
        <v>1800</v>
      </c>
      <c r="F38" s="8">
        <v>9870</v>
      </c>
      <c r="G38" s="20" t="s">
        <v>33</v>
      </c>
      <c r="H38" s="8">
        <v>1</v>
      </c>
      <c r="I38" s="31">
        <f t="shared" si="0"/>
        <v>2231.4096</v>
      </c>
      <c r="J38" s="20" t="s">
        <v>11</v>
      </c>
      <c r="K38" s="32"/>
      <c r="L38" s="32"/>
      <c r="O38" s="33" t="s">
        <v>1113</v>
      </c>
    </row>
    <row r="39" ht="16.5" spans="1:15">
      <c r="A39" s="20">
        <v>34</v>
      </c>
      <c r="B39" s="20" t="s">
        <v>31</v>
      </c>
      <c r="C39" s="21" t="s">
        <v>32</v>
      </c>
      <c r="D39" s="8">
        <v>16</v>
      </c>
      <c r="E39" s="8">
        <v>1800</v>
      </c>
      <c r="F39" s="8">
        <v>9930</v>
      </c>
      <c r="G39" s="20" t="s">
        <v>33</v>
      </c>
      <c r="H39" s="8">
        <v>1</v>
      </c>
      <c r="I39" s="31">
        <f t="shared" ref="I39:I57" si="1">D39*E39*F39*H39*7.85/1000/1000</f>
        <v>2244.9744</v>
      </c>
      <c r="J39" s="20" t="s">
        <v>12</v>
      </c>
      <c r="K39" s="32"/>
      <c r="L39" s="32"/>
      <c r="O39" s="33" t="s">
        <v>1114</v>
      </c>
    </row>
    <row r="40" ht="16.5" spans="1:15">
      <c r="A40" s="20">
        <v>35</v>
      </c>
      <c r="B40" s="20" t="s">
        <v>31</v>
      </c>
      <c r="C40" s="21" t="s">
        <v>32</v>
      </c>
      <c r="D40" s="8">
        <v>16</v>
      </c>
      <c r="E40" s="8">
        <v>1800</v>
      </c>
      <c r="F40" s="8">
        <v>9960</v>
      </c>
      <c r="G40" s="20" t="s">
        <v>33</v>
      </c>
      <c r="H40" s="8">
        <v>1</v>
      </c>
      <c r="I40" s="31">
        <f t="shared" si="1"/>
        <v>2251.7568</v>
      </c>
      <c r="J40" s="20" t="s">
        <v>34</v>
      </c>
      <c r="K40" s="32"/>
      <c r="L40" s="32"/>
      <c r="O40" s="33" t="s">
        <v>1115</v>
      </c>
    </row>
    <row r="41" ht="16.5" spans="1:15">
      <c r="A41" s="20">
        <v>36</v>
      </c>
      <c r="B41" s="20" t="s">
        <v>31</v>
      </c>
      <c r="C41" s="21" t="s">
        <v>32</v>
      </c>
      <c r="D41" s="8">
        <v>16</v>
      </c>
      <c r="E41" s="8">
        <v>1800</v>
      </c>
      <c r="F41" s="8">
        <v>10090</v>
      </c>
      <c r="G41" s="20" t="s">
        <v>33</v>
      </c>
      <c r="H41" s="8">
        <v>1</v>
      </c>
      <c r="I41" s="31">
        <f t="shared" si="1"/>
        <v>2281.1472</v>
      </c>
      <c r="J41" s="20" t="s">
        <v>34</v>
      </c>
      <c r="K41" s="32"/>
      <c r="L41" s="32"/>
      <c r="O41" s="33" t="s">
        <v>1116</v>
      </c>
    </row>
    <row r="42" ht="16.5" spans="1:15">
      <c r="A42" s="20">
        <v>37</v>
      </c>
      <c r="B42" s="20" t="s">
        <v>31</v>
      </c>
      <c r="C42" s="21" t="s">
        <v>32</v>
      </c>
      <c r="D42" s="8">
        <v>16</v>
      </c>
      <c r="E42" s="8">
        <v>1800</v>
      </c>
      <c r="F42" s="8">
        <v>10130</v>
      </c>
      <c r="G42" s="20" t="s">
        <v>33</v>
      </c>
      <c r="H42" s="8">
        <v>1</v>
      </c>
      <c r="I42" s="31">
        <f t="shared" si="1"/>
        <v>2290.1904</v>
      </c>
      <c r="J42" s="20" t="s">
        <v>12</v>
      </c>
      <c r="K42" s="32"/>
      <c r="L42" s="32"/>
      <c r="O42" s="33" t="s">
        <v>1117</v>
      </c>
    </row>
    <row r="43" ht="16.5" spans="1:15">
      <c r="A43" s="20">
        <v>38</v>
      </c>
      <c r="B43" s="20" t="s">
        <v>31</v>
      </c>
      <c r="C43" s="21" t="s">
        <v>32</v>
      </c>
      <c r="D43" s="8">
        <v>16</v>
      </c>
      <c r="E43" s="8">
        <v>1800</v>
      </c>
      <c r="F43" s="8">
        <v>10730</v>
      </c>
      <c r="G43" s="20" t="s">
        <v>33</v>
      </c>
      <c r="H43" s="8">
        <v>1</v>
      </c>
      <c r="I43" s="31">
        <f t="shared" si="1"/>
        <v>2425.8384</v>
      </c>
      <c r="J43" s="20" t="s">
        <v>12</v>
      </c>
      <c r="K43" s="32"/>
      <c r="L43" s="32"/>
      <c r="O43" s="33" t="s">
        <v>1118</v>
      </c>
    </row>
    <row r="44" ht="16.5" spans="1:15">
      <c r="A44" s="20">
        <v>39</v>
      </c>
      <c r="B44" s="20" t="s">
        <v>31</v>
      </c>
      <c r="C44" s="21" t="s">
        <v>32</v>
      </c>
      <c r="D44" s="8">
        <v>16</v>
      </c>
      <c r="E44" s="8">
        <v>1800</v>
      </c>
      <c r="F44" s="8">
        <v>11220</v>
      </c>
      <c r="G44" s="20" t="s">
        <v>33</v>
      </c>
      <c r="H44" s="8">
        <v>1</v>
      </c>
      <c r="I44" s="31">
        <f t="shared" si="1"/>
        <v>2536.6176</v>
      </c>
      <c r="J44" s="20" t="s">
        <v>12</v>
      </c>
      <c r="K44" s="32"/>
      <c r="L44" s="32"/>
      <c r="O44" s="33" t="s">
        <v>1119</v>
      </c>
    </row>
    <row r="45" ht="16.5" spans="1:15">
      <c r="A45" s="20">
        <v>40</v>
      </c>
      <c r="B45" s="20" t="s">
        <v>31</v>
      </c>
      <c r="C45" s="21" t="s">
        <v>32</v>
      </c>
      <c r="D45" s="8">
        <v>16</v>
      </c>
      <c r="E45" s="8">
        <v>1800</v>
      </c>
      <c r="F45" s="8">
        <v>11750</v>
      </c>
      <c r="G45" s="20" t="s">
        <v>33</v>
      </c>
      <c r="H45" s="8">
        <v>1</v>
      </c>
      <c r="I45" s="31">
        <f t="shared" si="1"/>
        <v>2656.44</v>
      </c>
      <c r="J45" s="20" t="s">
        <v>12</v>
      </c>
      <c r="K45" s="32"/>
      <c r="L45" s="32"/>
      <c r="O45" s="33" t="s">
        <v>1120</v>
      </c>
    </row>
    <row r="46" ht="16.5" spans="1:15">
      <c r="A46" s="20">
        <v>41</v>
      </c>
      <c r="B46" s="20" t="s">
        <v>31</v>
      </c>
      <c r="C46" s="21" t="s">
        <v>32</v>
      </c>
      <c r="D46" s="8">
        <v>16</v>
      </c>
      <c r="E46" s="8">
        <v>1800</v>
      </c>
      <c r="F46" s="8">
        <v>11860</v>
      </c>
      <c r="G46" s="20" t="s">
        <v>33</v>
      </c>
      <c r="H46" s="8">
        <v>1</v>
      </c>
      <c r="I46" s="31">
        <f t="shared" si="1"/>
        <v>2681.3088</v>
      </c>
      <c r="J46" s="20" t="s">
        <v>12</v>
      </c>
      <c r="K46" s="32"/>
      <c r="L46" s="32"/>
      <c r="O46" s="33" t="s">
        <v>1121</v>
      </c>
    </row>
    <row r="47" ht="16.5" spans="1:15">
      <c r="A47" s="20">
        <v>42</v>
      </c>
      <c r="B47" s="20" t="s">
        <v>31</v>
      </c>
      <c r="C47" s="21" t="s">
        <v>32</v>
      </c>
      <c r="D47" s="8">
        <v>16</v>
      </c>
      <c r="E47" s="8">
        <v>1800</v>
      </c>
      <c r="F47" s="8">
        <v>11960</v>
      </c>
      <c r="G47" s="20" t="s">
        <v>33</v>
      </c>
      <c r="H47" s="8">
        <v>1</v>
      </c>
      <c r="I47" s="31">
        <f t="shared" si="1"/>
        <v>2703.9168</v>
      </c>
      <c r="J47" s="20" t="s">
        <v>12</v>
      </c>
      <c r="K47" s="32"/>
      <c r="L47" s="32"/>
      <c r="O47" s="33" t="s">
        <v>1122</v>
      </c>
    </row>
    <row r="48" ht="16.5" spans="1:15">
      <c r="A48" s="20">
        <v>43</v>
      </c>
      <c r="B48" s="20" t="s">
        <v>31</v>
      </c>
      <c r="C48" s="21" t="s">
        <v>32</v>
      </c>
      <c r="D48" s="8">
        <v>16</v>
      </c>
      <c r="E48" s="8">
        <v>1800</v>
      </c>
      <c r="F48" s="8">
        <v>12150</v>
      </c>
      <c r="G48" s="20" t="s">
        <v>33</v>
      </c>
      <c r="H48" s="8">
        <v>1</v>
      </c>
      <c r="I48" s="31">
        <f t="shared" si="1"/>
        <v>2746.872</v>
      </c>
      <c r="J48" s="20" t="s">
        <v>12</v>
      </c>
      <c r="K48" s="32"/>
      <c r="L48" s="32"/>
      <c r="O48" s="33" t="s">
        <v>1123</v>
      </c>
    </row>
    <row r="49" ht="16.5" spans="1:16">
      <c r="A49" s="20">
        <v>44</v>
      </c>
      <c r="B49" s="20" t="s">
        <v>31</v>
      </c>
      <c r="C49" s="21" t="s">
        <v>32</v>
      </c>
      <c r="D49" s="8">
        <v>16</v>
      </c>
      <c r="E49" s="8">
        <v>2000</v>
      </c>
      <c r="F49" s="8">
        <v>7310</v>
      </c>
      <c r="G49" s="20" t="s">
        <v>33</v>
      </c>
      <c r="H49" s="8">
        <v>2</v>
      </c>
      <c r="I49" s="31">
        <f t="shared" si="1"/>
        <v>3672.544</v>
      </c>
      <c r="J49" s="20" t="s">
        <v>11</v>
      </c>
      <c r="K49" s="32"/>
      <c r="L49" s="32"/>
      <c r="O49" s="33" t="s">
        <v>1124</v>
      </c>
      <c r="P49" s="33" t="s">
        <v>1125</v>
      </c>
    </row>
    <row r="50" ht="16.5" spans="1:15">
      <c r="A50" s="20">
        <v>45</v>
      </c>
      <c r="B50" s="20" t="s">
        <v>31</v>
      </c>
      <c r="C50" s="21" t="s">
        <v>32</v>
      </c>
      <c r="D50" s="8">
        <v>16</v>
      </c>
      <c r="E50" s="8">
        <v>2000</v>
      </c>
      <c r="F50" s="8">
        <v>7370</v>
      </c>
      <c r="G50" s="20" t="s">
        <v>33</v>
      </c>
      <c r="H50" s="8">
        <v>1</v>
      </c>
      <c r="I50" s="31">
        <f t="shared" si="1"/>
        <v>1851.344</v>
      </c>
      <c r="J50" s="20" t="s">
        <v>11</v>
      </c>
      <c r="K50" s="32"/>
      <c r="L50" s="32"/>
      <c r="O50" s="33" t="s">
        <v>1126</v>
      </c>
    </row>
    <row r="51" ht="16.5" spans="1:15">
      <c r="A51" s="20">
        <v>46</v>
      </c>
      <c r="B51" s="20" t="s">
        <v>31</v>
      </c>
      <c r="C51" s="21" t="s">
        <v>32</v>
      </c>
      <c r="D51" s="8">
        <v>16</v>
      </c>
      <c r="E51" s="8">
        <v>2000</v>
      </c>
      <c r="F51" s="8">
        <v>7580</v>
      </c>
      <c r="G51" s="20" t="s">
        <v>33</v>
      </c>
      <c r="H51" s="8">
        <v>1</v>
      </c>
      <c r="I51" s="31">
        <f t="shared" si="1"/>
        <v>1904.096</v>
      </c>
      <c r="J51" s="20" t="s">
        <v>11</v>
      </c>
      <c r="K51" s="32"/>
      <c r="L51" s="32"/>
      <c r="O51" s="33" t="s">
        <v>1127</v>
      </c>
    </row>
    <row r="52" ht="16.5" spans="1:15">
      <c r="A52" s="20">
        <v>47</v>
      </c>
      <c r="B52" s="20" t="s">
        <v>31</v>
      </c>
      <c r="C52" s="21" t="s">
        <v>32</v>
      </c>
      <c r="D52" s="8">
        <v>16</v>
      </c>
      <c r="E52" s="8">
        <v>2000</v>
      </c>
      <c r="F52" s="8">
        <v>7650</v>
      </c>
      <c r="G52" s="20" t="s">
        <v>33</v>
      </c>
      <c r="H52" s="8">
        <v>1</v>
      </c>
      <c r="I52" s="31">
        <f t="shared" si="1"/>
        <v>1921.68</v>
      </c>
      <c r="J52" s="20" t="s">
        <v>11</v>
      </c>
      <c r="K52" s="32"/>
      <c r="L52" s="32"/>
      <c r="O52" s="33" t="s">
        <v>1128</v>
      </c>
    </row>
    <row r="53" ht="16.5" spans="1:15">
      <c r="A53" s="20">
        <v>48</v>
      </c>
      <c r="B53" s="20" t="s">
        <v>31</v>
      </c>
      <c r="C53" s="21" t="s">
        <v>32</v>
      </c>
      <c r="D53" s="8">
        <v>16</v>
      </c>
      <c r="E53" s="8">
        <v>2000</v>
      </c>
      <c r="F53" s="8">
        <v>7760</v>
      </c>
      <c r="G53" s="20" t="s">
        <v>33</v>
      </c>
      <c r="H53" s="8">
        <v>1</v>
      </c>
      <c r="I53" s="31">
        <f t="shared" si="1"/>
        <v>1949.312</v>
      </c>
      <c r="J53" s="20" t="s">
        <v>11</v>
      </c>
      <c r="K53" s="32"/>
      <c r="L53" s="32"/>
      <c r="O53" s="33" t="s">
        <v>1129</v>
      </c>
    </row>
    <row r="54" ht="16.5" spans="1:15">
      <c r="A54" s="20">
        <v>49</v>
      </c>
      <c r="B54" s="20" t="s">
        <v>31</v>
      </c>
      <c r="C54" s="21" t="s">
        <v>32</v>
      </c>
      <c r="D54" s="8">
        <v>16</v>
      </c>
      <c r="E54" s="8">
        <v>2000</v>
      </c>
      <c r="F54" s="8">
        <v>7900</v>
      </c>
      <c r="G54" s="20" t="s">
        <v>33</v>
      </c>
      <c r="H54" s="8">
        <v>1</v>
      </c>
      <c r="I54" s="31">
        <f t="shared" si="1"/>
        <v>1984.48</v>
      </c>
      <c r="J54" s="20" t="s">
        <v>11</v>
      </c>
      <c r="K54" s="32"/>
      <c r="L54" s="32"/>
      <c r="O54" s="33" t="s">
        <v>1130</v>
      </c>
    </row>
    <row r="55" ht="16.5" spans="1:15">
      <c r="A55" s="20">
        <v>50</v>
      </c>
      <c r="B55" s="20" t="s">
        <v>31</v>
      </c>
      <c r="C55" s="21" t="s">
        <v>32</v>
      </c>
      <c r="D55" s="8">
        <v>16</v>
      </c>
      <c r="E55" s="8">
        <v>2000</v>
      </c>
      <c r="F55" s="8">
        <v>8120</v>
      </c>
      <c r="G55" s="20" t="s">
        <v>33</v>
      </c>
      <c r="H55" s="8">
        <v>1</v>
      </c>
      <c r="I55" s="31">
        <f t="shared" si="1"/>
        <v>2039.744</v>
      </c>
      <c r="J55" s="20" t="s">
        <v>11</v>
      </c>
      <c r="K55" s="32"/>
      <c r="L55" s="32"/>
      <c r="O55" s="33" t="s">
        <v>1131</v>
      </c>
    </row>
    <row r="56" ht="16.5" spans="1:16">
      <c r="A56" s="20">
        <v>51</v>
      </c>
      <c r="B56" s="20" t="s">
        <v>31</v>
      </c>
      <c r="C56" s="21" t="s">
        <v>32</v>
      </c>
      <c r="D56" s="8">
        <v>16</v>
      </c>
      <c r="E56" s="8">
        <v>2000</v>
      </c>
      <c r="F56" s="8">
        <v>8170</v>
      </c>
      <c r="G56" s="20" t="s">
        <v>33</v>
      </c>
      <c r="H56" s="8">
        <v>2</v>
      </c>
      <c r="I56" s="31">
        <f t="shared" si="1"/>
        <v>4104.608</v>
      </c>
      <c r="J56" s="20" t="s">
        <v>11</v>
      </c>
      <c r="K56" s="32"/>
      <c r="L56" s="32"/>
      <c r="O56" s="33" t="s">
        <v>1132</v>
      </c>
      <c r="P56" s="33" t="s">
        <v>1133</v>
      </c>
    </row>
    <row r="57" ht="16.5" spans="1:15">
      <c r="A57" s="20">
        <v>52</v>
      </c>
      <c r="B57" s="20" t="s">
        <v>31</v>
      </c>
      <c r="C57" s="21" t="s">
        <v>32</v>
      </c>
      <c r="D57" s="8">
        <v>16</v>
      </c>
      <c r="E57" s="8">
        <v>2000</v>
      </c>
      <c r="F57" s="8">
        <v>9740</v>
      </c>
      <c r="G57" s="20" t="s">
        <v>33</v>
      </c>
      <c r="H57" s="8">
        <v>1</v>
      </c>
      <c r="I57" s="31">
        <f t="shared" si="1"/>
        <v>2446.688</v>
      </c>
      <c r="J57" s="20" t="s">
        <v>11</v>
      </c>
      <c r="K57" s="32">
        <f>SUM(I6:I57)</f>
        <v>118991.3048</v>
      </c>
      <c r="L57" s="32">
        <f>[9]Sheet3!$N$57</f>
        <v>118480.91664</v>
      </c>
      <c r="O57" s="33" t="s">
        <v>1134</v>
      </c>
    </row>
    <row r="58" ht="16.5" spans="1:14">
      <c r="A58" s="5" t="s">
        <v>40</v>
      </c>
      <c r="B58" s="5"/>
      <c r="C58" s="5"/>
      <c r="D58" s="5"/>
      <c r="E58" s="5"/>
      <c r="F58" s="5"/>
      <c r="G58" s="5"/>
      <c r="H58" s="5"/>
      <c r="I58" s="34">
        <f>SUM(I6:I57)</f>
        <v>118991.3048</v>
      </c>
      <c r="J58" s="13"/>
      <c r="K58">
        <v>118480.91664</v>
      </c>
      <c r="L58">
        <f>[6]D桥估料表!$G$198</f>
        <v>150005.1646816</v>
      </c>
      <c r="N58">
        <f>[21]Sheet2!$O$54</f>
        <v>118991.3048</v>
      </c>
    </row>
    <row r="59" ht="16.5" spans="1:12">
      <c r="A59" s="22" t="s">
        <v>41</v>
      </c>
      <c r="B59" s="22"/>
      <c r="C59" s="22"/>
      <c r="D59" s="22"/>
      <c r="E59" s="22"/>
      <c r="F59" s="22"/>
      <c r="G59" s="22"/>
      <c r="H59" s="22"/>
      <c r="I59" s="22"/>
      <c r="J59" s="22"/>
      <c r="L59">
        <v>150005.1646816</v>
      </c>
    </row>
    <row r="60" ht="16.5" spans="1:10">
      <c r="A60" s="22" t="s">
        <v>401</v>
      </c>
      <c r="B60" s="22"/>
      <c r="C60" s="22"/>
      <c r="D60" s="22"/>
      <c r="E60" s="22"/>
      <c r="F60" s="22"/>
      <c r="G60" s="22"/>
      <c r="H60" s="22"/>
      <c r="I60" s="22"/>
      <c r="J60" s="22"/>
    </row>
    <row r="61" ht="16.5" spans="1:10">
      <c r="A61" s="16" t="s">
        <v>74</v>
      </c>
      <c r="B61" s="17"/>
      <c r="C61" s="17"/>
      <c r="D61" s="17"/>
      <c r="E61" s="17"/>
      <c r="F61" s="17"/>
      <c r="G61" s="17"/>
      <c r="H61" s="17"/>
      <c r="I61" s="17"/>
      <c r="J61" s="17"/>
    </row>
  </sheetData>
  <autoFilter ref="A5:J61">
    <sortState ref="A5:J61">
      <sortCondition ref="E5"/>
    </sortState>
    <extLst/>
  </autoFilter>
  <mergeCells count="7">
    <mergeCell ref="A1:J1"/>
    <mergeCell ref="A2:J2"/>
    <mergeCell ref="A3:F3"/>
    <mergeCell ref="A58:H58"/>
    <mergeCell ref="A59:J59"/>
    <mergeCell ref="A60:J60"/>
    <mergeCell ref="A61:J61"/>
  </mergeCells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L68"/>
  <sheetViews>
    <sheetView topLeftCell="A48" workbookViewId="0">
      <selection activeCell="A63" sqref="A63:J66"/>
    </sheetView>
  </sheetViews>
  <sheetFormatPr defaultColWidth="9" defaultRowHeight="13.5"/>
  <cols>
    <col min="4" max="4" width="12.625"/>
    <col min="5" max="5" width="9.375"/>
    <col min="11" max="12" width="12.625"/>
  </cols>
  <sheetData>
    <row r="1" ht="22.5" spans="1:10">
      <c r="A1" s="15" t="s">
        <v>20</v>
      </c>
      <c r="B1" s="15"/>
      <c r="C1" s="15"/>
      <c r="D1" s="15"/>
      <c r="E1" s="15"/>
      <c r="F1" s="15"/>
      <c r="G1" s="15"/>
      <c r="H1" s="15"/>
      <c r="I1" s="15"/>
      <c r="J1" s="15"/>
    </row>
    <row r="2" ht="16.5" spans="1:10">
      <c r="A2" s="16" t="s">
        <v>21</v>
      </c>
      <c r="B2" s="17"/>
      <c r="C2" s="17"/>
      <c r="D2" s="17"/>
      <c r="E2" s="17"/>
      <c r="F2" s="17"/>
      <c r="G2" s="17"/>
      <c r="H2" s="17"/>
      <c r="I2" s="17"/>
      <c r="J2" s="26"/>
    </row>
    <row r="3" ht="16.5" spans="1:10">
      <c r="A3" s="18" t="s">
        <v>46</v>
      </c>
      <c r="B3" s="19"/>
      <c r="C3" s="19"/>
      <c r="D3" s="17"/>
      <c r="E3" s="19"/>
      <c r="F3" s="19"/>
      <c r="G3" s="17"/>
      <c r="H3" s="17"/>
      <c r="I3" s="26"/>
      <c r="J3" s="26"/>
    </row>
    <row r="4" ht="15" spans="1:10">
      <c r="A4" s="1" t="s">
        <v>23</v>
      </c>
      <c r="B4" s="1" t="s">
        <v>0</v>
      </c>
      <c r="C4" s="2" t="s">
        <v>24</v>
      </c>
      <c r="D4" s="2" t="s">
        <v>25</v>
      </c>
      <c r="E4" s="2" t="s">
        <v>26</v>
      </c>
      <c r="F4" s="2" t="s">
        <v>27</v>
      </c>
      <c r="G4" s="3" t="s">
        <v>28</v>
      </c>
      <c r="H4" s="2" t="s">
        <v>3</v>
      </c>
      <c r="I4" s="11" t="s">
        <v>29</v>
      </c>
      <c r="J4" s="11" t="s">
        <v>30</v>
      </c>
    </row>
    <row r="5" ht="16.5" spans="1:10">
      <c r="A5" s="5">
        <v>1</v>
      </c>
      <c r="B5" s="5" t="s">
        <v>31</v>
      </c>
      <c r="C5" s="156" t="s">
        <v>32</v>
      </c>
      <c r="D5" s="6">
        <v>16</v>
      </c>
      <c r="E5" s="6">
        <v>1805</v>
      </c>
      <c r="F5" s="6">
        <v>9690</v>
      </c>
      <c r="G5" s="8" t="s">
        <v>33</v>
      </c>
      <c r="H5" s="5">
        <v>1</v>
      </c>
      <c r="I5" s="157">
        <f t="shared" ref="I5:I57" si="0">D5*E5*F5*H5*7.85/1000000</f>
        <v>2196.80052</v>
      </c>
      <c r="J5" s="13" t="s">
        <v>11</v>
      </c>
    </row>
    <row r="6" ht="16.5" spans="1:10">
      <c r="A6" s="5">
        <v>2</v>
      </c>
      <c r="B6" s="5" t="s">
        <v>31</v>
      </c>
      <c r="C6" s="156" t="s">
        <v>32</v>
      </c>
      <c r="D6" s="6">
        <v>16</v>
      </c>
      <c r="E6" s="6">
        <v>2005</v>
      </c>
      <c r="F6" s="6">
        <v>7770</v>
      </c>
      <c r="G6" s="8" t="s">
        <v>33</v>
      </c>
      <c r="H6" s="5">
        <v>1</v>
      </c>
      <c r="I6" s="157">
        <f t="shared" si="0"/>
        <v>1956.70356</v>
      </c>
      <c r="J6" s="13" t="s">
        <v>11</v>
      </c>
    </row>
    <row r="7" ht="16.5" spans="1:10">
      <c r="A7" s="5">
        <v>3</v>
      </c>
      <c r="B7" s="5" t="s">
        <v>31</v>
      </c>
      <c r="C7" s="156" t="s">
        <v>32</v>
      </c>
      <c r="D7" s="6">
        <v>16</v>
      </c>
      <c r="E7" s="6">
        <v>2005</v>
      </c>
      <c r="F7" s="6">
        <v>7440</v>
      </c>
      <c r="G7" s="8" t="s">
        <v>33</v>
      </c>
      <c r="H7" s="5">
        <v>1</v>
      </c>
      <c r="I7" s="157">
        <f t="shared" si="0"/>
        <v>1873.60032</v>
      </c>
      <c r="J7" s="13" t="s">
        <v>11</v>
      </c>
    </row>
    <row r="8" ht="16.5" spans="1:10">
      <c r="A8" s="5">
        <v>4</v>
      </c>
      <c r="B8" s="5" t="s">
        <v>31</v>
      </c>
      <c r="C8" s="156" t="s">
        <v>32</v>
      </c>
      <c r="D8" s="6">
        <v>16</v>
      </c>
      <c r="E8" s="6">
        <v>1930</v>
      </c>
      <c r="F8" s="6">
        <v>11500</v>
      </c>
      <c r="G8" s="8" t="s">
        <v>33</v>
      </c>
      <c r="H8" s="5">
        <v>1</v>
      </c>
      <c r="I8" s="157">
        <f t="shared" si="0"/>
        <v>2787.692</v>
      </c>
      <c r="J8" s="13" t="s">
        <v>11</v>
      </c>
    </row>
    <row r="9" ht="16.5" spans="1:10">
      <c r="A9" s="5">
        <v>5</v>
      </c>
      <c r="B9" s="5" t="s">
        <v>31</v>
      </c>
      <c r="C9" s="156" t="s">
        <v>32</v>
      </c>
      <c r="D9" s="6">
        <v>16</v>
      </c>
      <c r="E9" s="6">
        <v>2005</v>
      </c>
      <c r="F9" s="6">
        <v>10970</v>
      </c>
      <c r="G9" s="8" t="s">
        <v>33</v>
      </c>
      <c r="H9" s="5">
        <v>1</v>
      </c>
      <c r="I9" s="157">
        <f t="shared" si="0"/>
        <v>2762.55316</v>
      </c>
      <c r="J9" s="13" t="s">
        <v>11</v>
      </c>
    </row>
    <row r="10" ht="16.5" spans="1:10">
      <c r="A10" s="5">
        <v>6</v>
      </c>
      <c r="B10" s="5" t="s">
        <v>31</v>
      </c>
      <c r="C10" s="156" t="s">
        <v>32</v>
      </c>
      <c r="D10" s="6">
        <v>16</v>
      </c>
      <c r="E10" s="6">
        <v>1810</v>
      </c>
      <c r="F10" s="6">
        <v>7760</v>
      </c>
      <c r="G10" s="8" t="s">
        <v>33</v>
      </c>
      <c r="H10" s="5">
        <v>1</v>
      </c>
      <c r="I10" s="157">
        <f t="shared" si="0"/>
        <v>1764.12736</v>
      </c>
      <c r="J10" s="13" t="s">
        <v>11</v>
      </c>
    </row>
    <row r="11" ht="16.5" spans="1:10">
      <c r="A11" s="5">
        <v>7</v>
      </c>
      <c r="B11" s="5" t="s">
        <v>31</v>
      </c>
      <c r="C11" s="156" t="s">
        <v>32</v>
      </c>
      <c r="D11" s="6">
        <v>16</v>
      </c>
      <c r="E11" s="6">
        <v>1840</v>
      </c>
      <c r="F11" s="6">
        <v>10330</v>
      </c>
      <c r="G11" s="8" t="s">
        <v>33</v>
      </c>
      <c r="H11" s="5">
        <v>1</v>
      </c>
      <c r="I11" s="157">
        <f t="shared" si="0"/>
        <v>2387.30432</v>
      </c>
      <c r="J11" s="13" t="s">
        <v>11</v>
      </c>
    </row>
    <row r="12" ht="16.5" spans="1:10">
      <c r="A12" s="5">
        <v>8</v>
      </c>
      <c r="B12" s="5" t="s">
        <v>31</v>
      </c>
      <c r="C12" s="156" t="s">
        <v>32</v>
      </c>
      <c r="D12" s="6">
        <v>16</v>
      </c>
      <c r="E12" s="6">
        <v>1810</v>
      </c>
      <c r="F12" s="6">
        <v>7470</v>
      </c>
      <c r="G12" s="8" t="s">
        <v>33</v>
      </c>
      <c r="H12" s="5">
        <v>1</v>
      </c>
      <c r="I12" s="157">
        <f t="shared" si="0"/>
        <v>1698.19992</v>
      </c>
      <c r="J12" s="13" t="s">
        <v>11</v>
      </c>
    </row>
    <row r="13" ht="16.5" spans="1:10">
      <c r="A13" s="5">
        <v>9</v>
      </c>
      <c r="B13" s="5" t="s">
        <v>31</v>
      </c>
      <c r="C13" s="156" t="s">
        <v>32</v>
      </c>
      <c r="D13" s="6">
        <v>16</v>
      </c>
      <c r="E13" s="6">
        <v>1805</v>
      </c>
      <c r="F13" s="6">
        <v>7440</v>
      </c>
      <c r="G13" s="8" t="s">
        <v>33</v>
      </c>
      <c r="H13" s="5">
        <v>1</v>
      </c>
      <c r="I13" s="157">
        <f t="shared" si="0"/>
        <v>1686.70752</v>
      </c>
      <c r="J13" s="13" t="s">
        <v>11</v>
      </c>
    </row>
    <row r="14" ht="16.5" spans="1:10">
      <c r="A14" s="5">
        <v>10</v>
      </c>
      <c r="B14" s="5" t="s">
        <v>31</v>
      </c>
      <c r="C14" s="156" t="s">
        <v>32</v>
      </c>
      <c r="D14" s="6">
        <v>16</v>
      </c>
      <c r="E14" s="6">
        <v>1805</v>
      </c>
      <c r="F14" s="6">
        <v>7420</v>
      </c>
      <c r="G14" s="8" t="s">
        <v>33</v>
      </c>
      <c r="H14" s="5">
        <v>1</v>
      </c>
      <c r="I14" s="157">
        <f t="shared" si="0"/>
        <v>1682.17336</v>
      </c>
      <c r="J14" s="13" t="s">
        <v>11</v>
      </c>
    </row>
    <row r="15" ht="16.5" spans="1:10">
      <c r="A15" s="5">
        <v>11</v>
      </c>
      <c r="B15" s="5" t="s">
        <v>31</v>
      </c>
      <c r="C15" s="156" t="s">
        <v>32</v>
      </c>
      <c r="D15" s="6">
        <v>16</v>
      </c>
      <c r="E15" s="6">
        <v>2000</v>
      </c>
      <c r="F15" s="6">
        <v>11100</v>
      </c>
      <c r="G15" s="8" t="s">
        <v>33</v>
      </c>
      <c r="H15" s="5">
        <v>1</v>
      </c>
      <c r="I15" s="157">
        <f t="shared" si="0"/>
        <v>2788.32</v>
      </c>
      <c r="J15" s="13" t="s">
        <v>11</v>
      </c>
    </row>
    <row r="16" ht="16.5" spans="1:10">
      <c r="A16" s="5">
        <v>12</v>
      </c>
      <c r="B16" s="5" t="s">
        <v>31</v>
      </c>
      <c r="C16" s="156" t="s">
        <v>32</v>
      </c>
      <c r="D16" s="6">
        <v>16</v>
      </c>
      <c r="E16" s="6">
        <v>2000</v>
      </c>
      <c r="F16" s="6">
        <v>9690</v>
      </c>
      <c r="G16" s="8" t="s">
        <v>33</v>
      </c>
      <c r="H16" s="5">
        <v>1</v>
      </c>
      <c r="I16" s="157">
        <f t="shared" si="0"/>
        <v>2434.128</v>
      </c>
      <c r="J16" s="13" t="s">
        <v>11</v>
      </c>
    </row>
    <row r="17" ht="16.5" spans="1:10">
      <c r="A17" s="5">
        <v>13</v>
      </c>
      <c r="B17" s="5" t="s">
        <v>31</v>
      </c>
      <c r="C17" s="156" t="s">
        <v>32</v>
      </c>
      <c r="D17" s="6">
        <v>16</v>
      </c>
      <c r="E17" s="6">
        <v>2005</v>
      </c>
      <c r="F17" s="6">
        <v>9490</v>
      </c>
      <c r="G17" s="8" t="s">
        <v>33</v>
      </c>
      <c r="H17" s="5">
        <v>1</v>
      </c>
      <c r="I17" s="157">
        <f t="shared" si="0"/>
        <v>2389.84772</v>
      </c>
      <c r="J17" s="13" t="s">
        <v>11</v>
      </c>
    </row>
    <row r="18" ht="16.5" spans="1:10">
      <c r="A18" s="5">
        <v>14</v>
      </c>
      <c r="B18" s="5" t="s">
        <v>31</v>
      </c>
      <c r="C18" s="156" t="s">
        <v>32</v>
      </c>
      <c r="D18" s="6">
        <v>16</v>
      </c>
      <c r="E18" s="6">
        <v>1880</v>
      </c>
      <c r="F18" s="6">
        <v>10990</v>
      </c>
      <c r="G18" s="8" t="s">
        <v>33</v>
      </c>
      <c r="H18" s="5">
        <v>1</v>
      </c>
      <c r="I18" s="157">
        <f t="shared" si="0"/>
        <v>2595.04672</v>
      </c>
      <c r="J18" s="13" t="s">
        <v>11</v>
      </c>
    </row>
    <row r="19" ht="16.5" spans="1:10">
      <c r="A19" s="5">
        <v>15</v>
      </c>
      <c r="B19" s="5" t="s">
        <v>31</v>
      </c>
      <c r="C19" s="156" t="s">
        <v>32</v>
      </c>
      <c r="D19" s="6">
        <v>16</v>
      </c>
      <c r="E19" s="6">
        <v>2000</v>
      </c>
      <c r="F19" s="6">
        <v>10620</v>
      </c>
      <c r="G19" s="8" t="s">
        <v>33</v>
      </c>
      <c r="H19" s="5">
        <v>1</v>
      </c>
      <c r="I19" s="157">
        <f t="shared" si="0"/>
        <v>2667.744</v>
      </c>
      <c r="J19" s="13" t="s">
        <v>11</v>
      </c>
    </row>
    <row r="20" ht="16.5" spans="1:10">
      <c r="A20" s="5">
        <v>16</v>
      </c>
      <c r="B20" s="5" t="s">
        <v>31</v>
      </c>
      <c r="C20" s="156" t="s">
        <v>32</v>
      </c>
      <c r="D20" s="6">
        <v>16</v>
      </c>
      <c r="E20" s="6">
        <v>2005</v>
      </c>
      <c r="F20" s="6">
        <v>9700</v>
      </c>
      <c r="G20" s="8" t="s">
        <v>33</v>
      </c>
      <c r="H20" s="5">
        <v>1</v>
      </c>
      <c r="I20" s="157">
        <f t="shared" si="0"/>
        <v>2442.7316</v>
      </c>
      <c r="J20" s="13" t="s">
        <v>11</v>
      </c>
    </row>
    <row r="21" ht="16.5" spans="1:10">
      <c r="A21" s="5">
        <v>17</v>
      </c>
      <c r="B21" s="5" t="s">
        <v>31</v>
      </c>
      <c r="C21" s="156" t="s">
        <v>32</v>
      </c>
      <c r="D21" s="6">
        <v>16</v>
      </c>
      <c r="E21" s="6">
        <v>2005</v>
      </c>
      <c r="F21" s="6">
        <v>7420</v>
      </c>
      <c r="G21" s="8" t="s">
        <v>33</v>
      </c>
      <c r="H21" s="5">
        <v>1</v>
      </c>
      <c r="I21" s="157">
        <f t="shared" si="0"/>
        <v>1868.56376</v>
      </c>
      <c r="J21" s="13" t="s">
        <v>11</v>
      </c>
    </row>
    <row r="22" ht="16.5" spans="1:10">
      <c r="A22" s="5">
        <v>18</v>
      </c>
      <c r="B22" s="5" t="s">
        <v>31</v>
      </c>
      <c r="C22" s="156" t="s">
        <v>32</v>
      </c>
      <c r="D22" s="6">
        <v>16</v>
      </c>
      <c r="E22" s="6">
        <v>2005</v>
      </c>
      <c r="F22" s="6">
        <v>7440</v>
      </c>
      <c r="G22" s="8" t="s">
        <v>33</v>
      </c>
      <c r="H22" s="5">
        <v>1</v>
      </c>
      <c r="I22" s="157">
        <f t="shared" si="0"/>
        <v>1873.60032</v>
      </c>
      <c r="J22" s="13" t="s">
        <v>11</v>
      </c>
    </row>
    <row r="23" ht="16.5" spans="1:10">
      <c r="A23" s="5">
        <v>19</v>
      </c>
      <c r="B23" s="5" t="s">
        <v>31</v>
      </c>
      <c r="C23" s="156" t="s">
        <v>32</v>
      </c>
      <c r="D23" s="6">
        <v>16</v>
      </c>
      <c r="E23" s="6">
        <v>2005</v>
      </c>
      <c r="F23" s="6">
        <v>11220</v>
      </c>
      <c r="G23" s="8" t="s">
        <v>33</v>
      </c>
      <c r="H23" s="5">
        <v>1</v>
      </c>
      <c r="I23" s="157">
        <f t="shared" si="0"/>
        <v>2825.51016</v>
      </c>
      <c r="J23" s="13" t="s">
        <v>11</v>
      </c>
    </row>
    <row r="24" ht="16.5" spans="1:10">
      <c r="A24" s="5">
        <v>20</v>
      </c>
      <c r="B24" s="5" t="s">
        <v>31</v>
      </c>
      <c r="C24" s="156" t="s">
        <v>32</v>
      </c>
      <c r="D24" s="6">
        <v>16</v>
      </c>
      <c r="E24" s="6">
        <v>1900</v>
      </c>
      <c r="F24" s="6">
        <v>7280</v>
      </c>
      <c r="G24" s="8" t="s">
        <v>33</v>
      </c>
      <c r="H24" s="5">
        <v>1</v>
      </c>
      <c r="I24" s="157">
        <f t="shared" si="0"/>
        <v>1737.2992</v>
      </c>
      <c r="J24" s="13" t="s">
        <v>11</v>
      </c>
    </row>
    <row r="25" ht="16.5" spans="1:10">
      <c r="A25" s="5">
        <v>21</v>
      </c>
      <c r="B25" s="5" t="s">
        <v>31</v>
      </c>
      <c r="C25" s="156" t="s">
        <v>32</v>
      </c>
      <c r="D25" s="6">
        <v>16</v>
      </c>
      <c r="E25" s="6">
        <v>1505</v>
      </c>
      <c r="F25" s="6">
        <v>9990</v>
      </c>
      <c r="G25" s="8" t="s">
        <v>33</v>
      </c>
      <c r="H25" s="5">
        <v>1</v>
      </c>
      <c r="I25" s="157">
        <f t="shared" si="0"/>
        <v>1888.38972</v>
      </c>
      <c r="J25" s="13" t="s">
        <v>34</v>
      </c>
    </row>
    <row r="26" ht="16.5" spans="1:10">
      <c r="A26" s="5">
        <v>22</v>
      </c>
      <c r="B26" s="5" t="s">
        <v>31</v>
      </c>
      <c r="C26" s="156" t="s">
        <v>32</v>
      </c>
      <c r="D26" s="6">
        <v>16</v>
      </c>
      <c r="E26" s="6">
        <v>1505</v>
      </c>
      <c r="F26" s="6">
        <v>8060</v>
      </c>
      <c r="G26" s="8" t="s">
        <v>33</v>
      </c>
      <c r="H26" s="5">
        <v>1</v>
      </c>
      <c r="I26" s="157">
        <f t="shared" si="0"/>
        <v>1523.56568</v>
      </c>
      <c r="J26" s="13" t="s">
        <v>34</v>
      </c>
    </row>
    <row r="27" ht="16.5" spans="1:10">
      <c r="A27" s="5">
        <v>23</v>
      </c>
      <c r="B27" s="5" t="s">
        <v>31</v>
      </c>
      <c r="C27" s="156" t="s">
        <v>32</v>
      </c>
      <c r="D27" s="6">
        <v>16</v>
      </c>
      <c r="E27" s="6">
        <v>1506</v>
      </c>
      <c r="F27" s="6">
        <v>11050</v>
      </c>
      <c r="G27" s="8" t="s">
        <v>33</v>
      </c>
      <c r="H27" s="5">
        <v>1</v>
      </c>
      <c r="I27" s="157">
        <f t="shared" si="0"/>
        <v>2090.14728</v>
      </c>
      <c r="J27" s="13" t="s">
        <v>34</v>
      </c>
    </row>
    <row r="28" ht="16.5" spans="1:10">
      <c r="A28" s="5">
        <v>24</v>
      </c>
      <c r="B28" s="5" t="s">
        <v>31</v>
      </c>
      <c r="C28" s="156" t="s">
        <v>32</v>
      </c>
      <c r="D28" s="6">
        <v>16</v>
      </c>
      <c r="E28" s="6">
        <v>1510</v>
      </c>
      <c r="F28" s="6">
        <v>8050</v>
      </c>
      <c r="G28" s="8" t="s">
        <v>33</v>
      </c>
      <c r="H28" s="5">
        <v>1</v>
      </c>
      <c r="I28" s="157">
        <f t="shared" si="0"/>
        <v>1526.7308</v>
      </c>
      <c r="J28" s="13" t="s">
        <v>34</v>
      </c>
    </row>
    <row r="29" ht="16.5" spans="1:10">
      <c r="A29" s="5">
        <v>25</v>
      </c>
      <c r="B29" s="5" t="s">
        <v>31</v>
      </c>
      <c r="C29" s="156" t="s">
        <v>32</v>
      </c>
      <c r="D29" s="6">
        <v>16</v>
      </c>
      <c r="E29" s="6">
        <v>1505</v>
      </c>
      <c r="F29" s="6">
        <v>8010</v>
      </c>
      <c r="G29" s="8" t="s">
        <v>33</v>
      </c>
      <c r="H29" s="5">
        <v>1</v>
      </c>
      <c r="I29" s="157">
        <f t="shared" si="0"/>
        <v>1514.11428</v>
      </c>
      <c r="J29" s="13" t="s">
        <v>34</v>
      </c>
    </row>
    <row r="30" ht="16.5" spans="1:10">
      <c r="A30" s="5">
        <v>26</v>
      </c>
      <c r="B30" s="5" t="s">
        <v>31</v>
      </c>
      <c r="C30" s="156" t="s">
        <v>32</v>
      </c>
      <c r="D30" s="6">
        <v>16</v>
      </c>
      <c r="E30" s="6">
        <v>2006</v>
      </c>
      <c r="F30" s="6">
        <v>8060</v>
      </c>
      <c r="G30" s="8" t="s">
        <v>33</v>
      </c>
      <c r="H30" s="5">
        <v>1</v>
      </c>
      <c r="I30" s="157">
        <f t="shared" si="0"/>
        <v>2030.746016</v>
      </c>
      <c r="J30" s="13" t="s">
        <v>34</v>
      </c>
    </row>
    <row r="31" ht="16.5" spans="1:10">
      <c r="A31" s="5">
        <v>27</v>
      </c>
      <c r="B31" s="5" t="s">
        <v>31</v>
      </c>
      <c r="C31" s="156" t="s">
        <v>32</v>
      </c>
      <c r="D31" s="6">
        <v>16</v>
      </c>
      <c r="E31" s="6">
        <v>1800</v>
      </c>
      <c r="F31" s="6">
        <v>9590</v>
      </c>
      <c r="G31" s="8" t="s">
        <v>33</v>
      </c>
      <c r="H31" s="5">
        <v>1</v>
      </c>
      <c r="I31" s="157">
        <f t="shared" si="0"/>
        <v>2168.1072</v>
      </c>
      <c r="J31" s="13" t="s">
        <v>34</v>
      </c>
    </row>
    <row r="32" ht="16.5" spans="1:10">
      <c r="A32" s="5">
        <v>28</v>
      </c>
      <c r="B32" s="5" t="s">
        <v>31</v>
      </c>
      <c r="C32" s="156" t="s">
        <v>32</v>
      </c>
      <c r="D32" s="6">
        <v>16</v>
      </c>
      <c r="E32" s="6">
        <v>1610</v>
      </c>
      <c r="F32" s="6">
        <v>11940</v>
      </c>
      <c r="G32" s="8" t="s">
        <v>33</v>
      </c>
      <c r="H32" s="5">
        <v>1</v>
      </c>
      <c r="I32" s="157">
        <f t="shared" si="0"/>
        <v>2414.45904</v>
      </c>
      <c r="J32" s="13" t="s">
        <v>34</v>
      </c>
    </row>
    <row r="33" ht="16.5" spans="1:10">
      <c r="A33" s="5">
        <v>29</v>
      </c>
      <c r="B33" s="5" t="s">
        <v>31</v>
      </c>
      <c r="C33" s="156" t="s">
        <v>32</v>
      </c>
      <c r="D33" s="6">
        <v>16</v>
      </c>
      <c r="E33" s="6">
        <v>1800</v>
      </c>
      <c r="F33" s="6">
        <v>8370</v>
      </c>
      <c r="G33" s="8" t="s">
        <v>33</v>
      </c>
      <c r="H33" s="5">
        <v>1</v>
      </c>
      <c r="I33" s="50">
        <f t="shared" si="0"/>
        <v>1892.2896</v>
      </c>
      <c r="J33" s="13" t="s">
        <v>34</v>
      </c>
    </row>
    <row r="34" ht="16.5" spans="1:10">
      <c r="A34" s="5">
        <v>30</v>
      </c>
      <c r="B34" s="5" t="s">
        <v>31</v>
      </c>
      <c r="C34" s="156" t="s">
        <v>32</v>
      </c>
      <c r="D34" s="6">
        <v>16</v>
      </c>
      <c r="E34" s="6">
        <v>1800</v>
      </c>
      <c r="F34" s="6">
        <v>8170</v>
      </c>
      <c r="G34" s="8" t="s">
        <v>33</v>
      </c>
      <c r="H34" s="5">
        <v>1</v>
      </c>
      <c r="I34" s="50">
        <f t="shared" si="0"/>
        <v>1847.0736</v>
      </c>
      <c r="J34" s="13" t="s">
        <v>34</v>
      </c>
    </row>
    <row r="35" ht="16.5" spans="1:10">
      <c r="A35" s="5">
        <v>31</v>
      </c>
      <c r="B35" s="5" t="s">
        <v>31</v>
      </c>
      <c r="C35" s="156" t="s">
        <v>32</v>
      </c>
      <c r="D35" s="6">
        <v>16</v>
      </c>
      <c r="E35" s="6">
        <v>1805</v>
      </c>
      <c r="F35" s="6">
        <v>8060</v>
      </c>
      <c r="G35" s="8" t="s">
        <v>33</v>
      </c>
      <c r="H35" s="5">
        <v>1</v>
      </c>
      <c r="I35" s="50">
        <f t="shared" si="0"/>
        <v>1827.26648</v>
      </c>
      <c r="J35" s="13" t="s">
        <v>34</v>
      </c>
    </row>
    <row r="36" ht="16.5" spans="1:10">
      <c r="A36" s="5">
        <v>32</v>
      </c>
      <c r="B36" s="5" t="s">
        <v>31</v>
      </c>
      <c r="C36" s="156" t="s">
        <v>32</v>
      </c>
      <c r="D36" s="6">
        <v>16</v>
      </c>
      <c r="E36" s="6">
        <v>1802</v>
      </c>
      <c r="F36" s="6">
        <v>11670</v>
      </c>
      <c r="G36" s="8" t="s">
        <v>33</v>
      </c>
      <c r="H36" s="5">
        <v>1</v>
      </c>
      <c r="I36" s="50">
        <f t="shared" si="0"/>
        <v>2641.285104</v>
      </c>
      <c r="J36" s="13" t="s">
        <v>34</v>
      </c>
    </row>
    <row r="37" ht="16.5" spans="1:10">
      <c r="A37" s="5">
        <v>33</v>
      </c>
      <c r="B37" s="5" t="s">
        <v>31</v>
      </c>
      <c r="C37" s="156" t="s">
        <v>32</v>
      </c>
      <c r="D37" s="6">
        <v>16</v>
      </c>
      <c r="E37" s="6">
        <v>2006</v>
      </c>
      <c r="F37" s="6">
        <v>8040</v>
      </c>
      <c r="G37" s="8" t="s">
        <v>33</v>
      </c>
      <c r="H37" s="5">
        <v>1</v>
      </c>
      <c r="I37" s="50">
        <f t="shared" si="0"/>
        <v>2025.706944</v>
      </c>
      <c r="J37" s="13" t="s">
        <v>34</v>
      </c>
    </row>
    <row r="38" ht="16.5" spans="1:10">
      <c r="A38" s="5">
        <v>34</v>
      </c>
      <c r="B38" s="5" t="s">
        <v>31</v>
      </c>
      <c r="C38" s="156" t="s">
        <v>32</v>
      </c>
      <c r="D38" s="6">
        <v>16</v>
      </c>
      <c r="E38" s="6">
        <v>1590</v>
      </c>
      <c r="F38" s="6">
        <v>11220</v>
      </c>
      <c r="G38" s="8" t="s">
        <v>33</v>
      </c>
      <c r="H38" s="5">
        <v>1</v>
      </c>
      <c r="I38" s="50">
        <f t="shared" si="0"/>
        <v>2240.67888</v>
      </c>
      <c r="J38" s="13" t="s">
        <v>34</v>
      </c>
    </row>
    <row r="39" ht="16.5" spans="1:10">
      <c r="A39" s="5">
        <v>35</v>
      </c>
      <c r="B39" s="5" t="s">
        <v>31</v>
      </c>
      <c r="C39" s="156" t="s">
        <v>32</v>
      </c>
      <c r="D39" s="6">
        <v>16</v>
      </c>
      <c r="E39" s="6">
        <v>2010</v>
      </c>
      <c r="F39" s="6">
        <v>10530</v>
      </c>
      <c r="G39" s="8" t="s">
        <v>33</v>
      </c>
      <c r="H39" s="5">
        <v>1</v>
      </c>
      <c r="I39" s="50">
        <f t="shared" si="0"/>
        <v>2658.36168</v>
      </c>
      <c r="J39" s="13" t="s">
        <v>34</v>
      </c>
    </row>
    <row r="40" ht="16.5" spans="1:10">
      <c r="A40" s="5">
        <v>36</v>
      </c>
      <c r="B40" s="5" t="s">
        <v>31</v>
      </c>
      <c r="C40" s="156" t="s">
        <v>32</v>
      </c>
      <c r="D40" s="6">
        <v>16</v>
      </c>
      <c r="E40" s="6">
        <v>1505</v>
      </c>
      <c r="F40" s="6">
        <v>8030</v>
      </c>
      <c r="G40" s="8" t="s">
        <v>33</v>
      </c>
      <c r="H40" s="5">
        <v>1</v>
      </c>
      <c r="I40" s="50">
        <f t="shared" si="0"/>
        <v>1517.89484</v>
      </c>
      <c r="J40" s="13" t="s">
        <v>34</v>
      </c>
    </row>
    <row r="41" ht="16.5" spans="1:10">
      <c r="A41" s="5">
        <v>37</v>
      </c>
      <c r="B41" s="5" t="s">
        <v>31</v>
      </c>
      <c r="C41" s="156" t="s">
        <v>32</v>
      </c>
      <c r="D41" s="6">
        <v>16</v>
      </c>
      <c r="E41" s="6">
        <v>1480</v>
      </c>
      <c r="F41" s="6">
        <v>12410</v>
      </c>
      <c r="G41" s="8" t="s">
        <v>33</v>
      </c>
      <c r="H41" s="5">
        <v>1</v>
      </c>
      <c r="I41" s="50">
        <f t="shared" si="0"/>
        <v>2306.87008</v>
      </c>
      <c r="J41" s="13" t="s">
        <v>35</v>
      </c>
    </row>
    <row r="42" ht="16.5" spans="1:10">
      <c r="A42" s="5">
        <v>38</v>
      </c>
      <c r="B42" s="5" t="s">
        <v>31</v>
      </c>
      <c r="C42" s="156" t="s">
        <v>32</v>
      </c>
      <c r="D42" s="6">
        <v>16</v>
      </c>
      <c r="E42" s="6">
        <v>1800</v>
      </c>
      <c r="F42" s="6">
        <v>7550</v>
      </c>
      <c r="G42" s="8" t="s">
        <v>33</v>
      </c>
      <c r="H42" s="5">
        <v>1</v>
      </c>
      <c r="I42" s="50">
        <f t="shared" si="0"/>
        <v>1706.904</v>
      </c>
      <c r="J42" s="13" t="s">
        <v>35</v>
      </c>
    </row>
    <row r="43" ht="16.5" spans="1:10">
      <c r="A43" s="5">
        <v>39</v>
      </c>
      <c r="B43" s="5" t="s">
        <v>31</v>
      </c>
      <c r="C43" s="156" t="s">
        <v>32</v>
      </c>
      <c r="D43" s="6">
        <v>16</v>
      </c>
      <c r="E43" s="6">
        <v>1930</v>
      </c>
      <c r="F43" s="6">
        <v>7740</v>
      </c>
      <c r="G43" s="8" t="s">
        <v>33</v>
      </c>
      <c r="H43" s="5">
        <v>1</v>
      </c>
      <c r="I43" s="50">
        <f t="shared" si="0"/>
        <v>1876.23792</v>
      </c>
      <c r="J43" s="13" t="s">
        <v>35</v>
      </c>
    </row>
    <row r="44" ht="16.5" spans="1:10">
      <c r="A44" s="5">
        <v>40</v>
      </c>
      <c r="B44" s="5" t="s">
        <v>31</v>
      </c>
      <c r="C44" s="156" t="s">
        <v>32</v>
      </c>
      <c r="D44" s="6">
        <v>16</v>
      </c>
      <c r="E44" s="6">
        <v>1980</v>
      </c>
      <c r="F44" s="6">
        <v>12630</v>
      </c>
      <c r="G44" s="8" t="s">
        <v>33</v>
      </c>
      <c r="H44" s="5">
        <v>1</v>
      </c>
      <c r="I44" s="50">
        <f t="shared" si="0"/>
        <v>3140.92944</v>
      </c>
      <c r="J44" s="13" t="s">
        <v>35</v>
      </c>
    </row>
    <row r="45" ht="16.5" spans="1:10">
      <c r="A45" s="5">
        <v>41</v>
      </c>
      <c r="B45" s="5" t="s">
        <v>31</v>
      </c>
      <c r="C45" s="156" t="s">
        <v>32</v>
      </c>
      <c r="D45" s="6">
        <v>16</v>
      </c>
      <c r="E45" s="6">
        <v>1690</v>
      </c>
      <c r="F45" s="6">
        <v>9990</v>
      </c>
      <c r="G45" s="8" t="s">
        <v>33</v>
      </c>
      <c r="H45" s="5">
        <v>1</v>
      </c>
      <c r="I45" s="50">
        <f t="shared" si="0"/>
        <v>2120.51736</v>
      </c>
      <c r="J45" s="13" t="s">
        <v>36</v>
      </c>
    </row>
    <row r="46" ht="16.5" spans="1:10">
      <c r="A46" s="5">
        <v>42</v>
      </c>
      <c r="B46" s="5" t="s">
        <v>31</v>
      </c>
      <c r="C46" s="156" t="s">
        <v>32</v>
      </c>
      <c r="D46" s="6">
        <v>16</v>
      </c>
      <c r="E46" s="6">
        <v>1750</v>
      </c>
      <c r="F46" s="6">
        <v>12720</v>
      </c>
      <c r="G46" s="8" t="s">
        <v>33</v>
      </c>
      <c r="H46" s="5">
        <v>1</v>
      </c>
      <c r="I46" s="50">
        <f t="shared" si="0"/>
        <v>2795.856</v>
      </c>
      <c r="J46" s="13" t="s">
        <v>36</v>
      </c>
    </row>
    <row r="47" ht="16.5" spans="1:10">
      <c r="A47" s="5">
        <v>43</v>
      </c>
      <c r="B47" s="5" t="s">
        <v>31</v>
      </c>
      <c r="C47" s="156" t="s">
        <v>32</v>
      </c>
      <c r="D47" s="6">
        <v>16</v>
      </c>
      <c r="E47" s="6">
        <v>1710</v>
      </c>
      <c r="F47" s="6">
        <v>8090</v>
      </c>
      <c r="G47" s="8" t="s">
        <v>33</v>
      </c>
      <c r="H47" s="5">
        <v>1</v>
      </c>
      <c r="I47" s="50">
        <f t="shared" si="0"/>
        <v>1737.53784</v>
      </c>
      <c r="J47" s="13" t="s">
        <v>36</v>
      </c>
    </row>
    <row r="48" ht="16.5" spans="1:10">
      <c r="A48" s="5">
        <v>44</v>
      </c>
      <c r="B48" s="5" t="s">
        <v>31</v>
      </c>
      <c r="C48" s="156" t="s">
        <v>32</v>
      </c>
      <c r="D48" s="6">
        <v>16</v>
      </c>
      <c r="E48" s="6">
        <v>1710</v>
      </c>
      <c r="F48" s="6">
        <v>8040</v>
      </c>
      <c r="G48" s="8" t="s">
        <v>33</v>
      </c>
      <c r="H48" s="5">
        <v>1</v>
      </c>
      <c r="I48" s="50">
        <f t="shared" si="0"/>
        <v>1726.79904</v>
      </c>
      <c r="J48" s="13" t="s">
        <v>36</v>
      </c>
    </row>
    <row r="49" ht="16.5" spans="1:10">
      <c r="A49" s="5">
        <v>45</v>
      </c>
      <c r="B49" s="5" t="s">
        <v>31</v>
      </c>
      <c r="C49" s="156" t="s">
        <v>32</v>
      </c>
      <c r="D49" s="6">
        <v>16</v>
      </c>
      <c r="E49" s="6">
        <v>1730</v>
      </c>
      <c r="F49" s="6">
        <v>7960</v>
      </c>
      <c r="G49" s="8" t="s">
        <v>33</v>
      </c>
      <c r="H49" s="5">
        <v>1</v>
      </c>
      <c r="I49" s="50">
        <f t="shared" si="0"/>
        <v>1729.61248</v>
      </c>
      <c r="J49" s="13" t="s">
        <v>36</v>
      </c>
    </row>
    <row r="50" ht="16.5" spans="1:10">
      <c r="A50" s="5">
        <v>46</v>
      </c>
      <c r="B50" s="5" t="s">
        <v>31</v>
      </c>
      <c r="C50" s="156" t="s">
        <v>32</v>
      </c>
      <c r="D50" s="6">
        <v>16</v>
      </c>
      <c r="E50" s="6">
        <v>1720</v>
      </c>
      <c r="F50" s="6">
        <v>8020</v>
      </c>
      <c r="G50" s="8" t="s">
        <v>33</v>
      </c>
      <c r="H50" s="5">
        <v>1</v>
      </c>
      <c r="I50" s="50">
        <f t="shared" si="0"/>
        <v>1732.57664</v>
      </c>
      <c r="J50" s="13" t="s">
        <v>36</v>
      </c>
    </row>
    <row r="51" ht="16.5" spans="1:10">
      <c r="A51" s="5">
        <v>47</v>
      </c>
      <c r="B51" s="5" t="s">
        <v>31</v>
      </c>
      <c r="C51" s="156" t="s">
        <v>32</v>
      </c>
      <c r="D51" s="6">
        <v>16</v>
      </c>
      <c r="E51" s="6">
        <v>1700</v>
      </c>
      <c r="F51" s="6">
        <v>7640</v>
      </c>
      <c r="G51" s="8" t="s">
        <v>33</v>
      </c>
      <c r="H51" s="5">
        <v>1</v>
      </c>
      <c r="I51" s="50">
        <f t="shared" si="0"/>
        <v>1631.2928</v>
      </c>
      <c r="J51" s="13" t="s">
        <v>36</v>
      </c>
    </row>
    <row r="52" ht="16.5" spans="1:10">
      <c r="A52" s="5">
        <v>48</v>
      </c>
      <c r="B52" s="5" t="s">
        <v>31</v>
      </c>
      <c r="C52" s="156" t="s">
        <v>32</v>
      </c>
      <c r="D52" s="6">
        <v>16</v>
      </c>
      <c r="E52" s="6">
        <v>1720</v>
      </c>
      <c r="F52" s="6">
        <v>7620</v>
      </c>
      <c r="G52" s="8" t="s">
        <v>33</v>
      </c>
      <c r="H52" s="5">
        <v>1</v>
      </c>
      <c r="I52" s="50">
        <f t="shared" si="0"/>
        <v>1646.16384</v>
      </c>
      <c r="J52" s="13" t="s">
        <v>36</v>
      </c>
    </row>
    <row r="53" ht="16.5" spans="1:10">
      <c r="A53" s="5">
        <v>49</v>
      </c>
      <c r="B53" s="5" t="s">
        <v>31</v>
      </c>
      <c r="C53" s="156" t="s">
        <v>32</v>
      </c>
      <c r="D53" s="6">
        <v>16</v>
      </c>
      <c r="E53" s="6">
        <v>1920</v>
      </c>
      <c r="F53" s="6">
        <v>12140</v>
      </c>
      <c r="G53" s="8" t="s">
        <v>33</v>
      </c>
      <c r="H53" s="5">
        <v>1</v>
      </c>
      <c r="I53" s="50">
        <f t="shared" si="0"/>
        <v>2927.58528</v>
      </c>
      <c r="J53" s="13" t="s">
        <v>36</v>
      </c>
    </row>
    <row r="54" ht="16.5" spans="1:10">
      <c r="A54" s="5">
        <v>50</v>
      </c>
      <c r="B54" s="5" t="s">
        <v>31</v>
      </c>
      <c r="C54" s="156" t="s">
        <v>32</v>
      </c>
      <c r="D54" s="6">
        <v>16</v>
      </c>
      <c r="E54" s="6">
        <v>1880</v>
      </c>
      <c r="F54" s="6">
        <v>12760</v>
      </c>
      <c r="G54" s="8" t="s">
        <v>33</v>
      </c>
      <c r="H54" s="5">
        <v>1</v>
      </c>
      <c r="I54" s="157">
        <f t="shared" si="0"/>
        <v>3012.99328</v>
      </c>
      <c r="J54" s="13" t="s">
        <v>36</v>
      </c>
    </row>
    <row r="55" ht="16.5" spans="1:10">
      <c r="A55" s="5">
        <v>51</v>
      </c>
      <c r="B55" s="5" t="s">
        <v>31</v>
      </c>
      <c r="C55" s="156" t="s">
        <v>32</v>
      </c>
      <c r="D55" s="6">
        <v>16</v>
      </c>
      <c r="E55" s="6">
        <v>1850</v>
      </c>
      <c r="F55" s="6">
        <v>12080</v>
      </c>
      <c r="G55" s="8" t="s">
        <v>33</v>
      </c>
      <c r="H55" s="5">
        <v>1</v>
      </c>
      <c r="I55" s="157">
        <f t="shared" si="0"/>
        <v>2806.9088</v>
      </c>
      <c r="J55" s="13" t="s">
        <v>36</v>
      </c>
    </row>
    <row r="56" ht="16.5" spans="1:10">
      <c r="A56" s="5">
        <v>52</v>
      </c>
      <c r="B56" s="5" t="s">
        <v>31</v>
      </c>
      <c r="C56" s="156" t="s">
        <v>32</v>
      </c>
      <c r="D56" s="6">
        <v>16</v>
      </c>
      <c r="E56" s="6">
        <v>1800</v>
      </c>
      <c r="F56" s="6">
        <v>11340</v>
      </c>
      <c r="G56" s="8" t="s">
        <v>33</v>
      </c>
      <c r="H56" s="5">
        <v>1</v>
      </c>
      <c r="I56" s="157">
        <f t="shared" si="0"/>
        <v>2563.7472</v>
      </c>
      <c r="J56" s="13" t="s">
        <v>36</v>
      </c>
    </row>
    <row r="57" ht="16.5" spans="1:10">
      <c r="A57" s="5">
        <v>53</v>
      </c>
      <c r="B57" s="5" t="s">
        <v>31</v>
      </c>
      <c r="C57" s="156" t="s">
        <v>32</v>
      </c>
      <c r="D57" s="6">
        <v>16</v>
      </c>
      <c r="E57" s="6">
        <v>1850</v>
      </c>
      <c r="F57" s="6">
        <v>11590</v>
      </c>
      <c r="G57" s="8" t="s">
        <v>33</v>
      </c>
      <c r="H57" s="5">
        <v>1</v>
      </c>
      <c r="I57" s="157">
        <f t="shared" si="0"/>
        <v>2693.0524</v>
      </c>
      <c r="J57" s="13" t="s">
        <v>36</v>
      </c>
    </row>
    <row r="58" ht="16.5" spans="1:10">
      <c r="A58" s="5">
        <v>54</v>
      </c>
      <c r="B58" s="5" t="s">
        <v>31</v>
      </c>
      <c r="C58" s="156" t="s">
        <v>32</v>
      </c>
      <c r="D58" s="6">
        <v>12</v>
      </c>
      <c r="E58" s="6">
        <v>1960</v>
      </c>
      <c r="F58" s="6">
        <v>11600</v>
      </c>
      <c r="G58" s="8" t="s">
        <v>33</v>
      </c>
      <c r="H58" s="5">
        <v>2</v>
      </c>
      <c r="I58" s="50">
        <f t="shared" ref="I58:I64" si="1">D58*E58*F58*H58*7.85/1000000</f>
        <v>4283.4624</v>
      </c>
      <c r="J58" s="13" t="s">
        <v>15</v>
      </c>
    </row>
    <row r="59" ht="16.5" spans="1:10">
      <c r="A59" s="5">
        <v>55</v>
      </c>
      <c r="B59" s="5" t="s">
        <v>31</v>
      </c>
      <c r="C59" s="156" t="s">
        <v>32</v>
      </c>
      <c r="D59" s="6">
        <v>12</v>
      </c>
      <c r="E59" s="6">
        <v>1950</v>
      </c>
      <c r="F59" s="6">
        <v>10020</v>
      </c>
      <c r="G59" s="8" t="s">
        <v>33</v>
      </c>
      <c r="H59" s="5">
        <v>2</v>
      </c>
      <c r="I59" s="50">
        <f t="shared" si="1"/>
        <v>3681.1476</v>
      </c>
      <c r="J59" s="13" t="s">
        <v>16</v>
      </c>
    </row>
    <row r="60" ht="16.5" spans="1:10">
      <c r="A60" s="5">
        <v>56</v>
      </c>
      <c r="B60" s="5" t="s">
        <v>31</v>
      </c>
      <c r="C60" s="156" t="s">
        <v>32</v>
      </c>
      <c r="D60" s="6">
        <v>12</v>
      </c>
      <c r="E60" s="6">
        <v>1700</v>
      </c>
      <c r="F60" s="6">
        <v>6860</v>
      </c>
      <c r="G60" s="8" t="s">
        <v>33</v>
      </c>
      <c r="H60" s="5">
        <v>1</v>
      </c>
      <c r="I60" s="50">
        <f t="shared" si="1"/>
        <v>1098.5604</v>
      </c>
      <c r="J60" s="13" t="s">
        <v>17</v>
      </c>
    </row>
    <row r="61" ht="16.5" spans="1:10">
      <c r="A61" s="5">
        <v>57</v>
      </c>
      <c r="B61" s="5" t="s">
        <v>31</v>
      </c>
      <c r="C61" s="156" t="s">
        <v>32</v>
      </c>
      <c r="D61" s="6">
        <v>16</v>
      </c>
      <c r="E61" s="6">
        <v>1950</v>
      </c>
      <c r="F61" s="6">
        <f>(195920+1000)/4/5</f>
        <v>9846</v>
      </c>
      <c r="G61" s="8" t="s">
        <v>33</v>
      </c>
      <c r="H61" s="5">
        <v>5</v>
      </c>
      <c r="I61" s="50">
        <f t="shared" si="1"/>
        <v>12057.4116</v>
      </c>
      <c r="J61" s="13" t="s">
        <v>19</v>
      </c>
    </row>
    <row r="62" ht="16.5" spans="1:10">
      <c r="A62" s="5">
        <v>58</v>
      </c>
      <c r="B62" s="5" t="s">
        <v>31</v>
      </c>
      <c r="C62" s="156" t="s">
        <v>32</v>
      </c>
      <c r="D62" s="6">
        <v>16</v>
      </c>
      <c r="E62" s="60">
        <v>1720</v>
      </c>
      <c r="F62" s="6">
        <f>(391840+2000)/5/9</f>
        <v>8752</v>
      </c>
      <c r="G62" s="8" t="s">
        <v>33</v>
      </c>
      <c r="H62" s="5">
        <v>9</v>
      </c>
      <c r="I62" s="50">
        <f t="shared" si="1"/>
        <v>17016.408576</v>
      </c>
      <c r="J62" s="13" t="s">
        <v>14</v>
      </c>
    </row>
    <row r="63" ht="16.5" spans="1:10">
      <c r="A63" s="5">
        <v>59</v>
      </c>
      <c r="B63" s="5" t="s">
        <v>31</v>
      </c>
      <c r="C63" s="156" t="s">
        <v>37</v>
      </c>
      <c r="D63" s="6">
        <v>16</v>
      </c>
      <c r="E63" s="6">
        <v>1800</v>
      </c>
      <c r="F63" s="6">
        <v>11230</v>
      </c>
      <c r="G63" s="8" t="s">
        <v>33</v>
      </c>
      <c r="H63" s="5">
        <v>1</v>
      </c>
      <c r="I63" s="157">
        <f t="shared" si="1"/>
        <v>2538.8784</v>
      </c>
      <c r="J63" s="13" t="s">
        <v>38</v>
      </c>
    </row>
    <row r="64" ht="16.5" spans="1:10">
      <c r="A64" s="5">
        <v>60</v>
      </c>
      <c r="B64" s="5" t="s">
        <v>31</v>
      </c>
      <c r="C64" s="156" t="s">
        <v>39</v>
      </c>
      <c r="D64" s="6">
        <v>16</v>
      </c>
      <c r="E64" s="6">
        <v>1990</v>
      </c>
      <c r="F64" s="6">
        <v>10200</v>
      </c>
      <c r="G64" s="8" t="s">
        <v>33</v>
      </c>
      <c r="H64" s="5">
        <v>1</v>
      </c>
      <c r="I64" s="157">
        <f t="shared" si="1"/>
        <v>2549.4288</v>
      </c>
      <c r="J64" s="13" t="s">
        <v>38</v>
      </c>
    </row>
    <row r="65" ht="16.5" spans="1:12">
      <c r="A65" s="5" t="s">
        <v>40</v>
      </c>
      <c r="B65" s="5"/>
      <c r="C65" s="5"/>
      <c r="D65" s="5"/>
      <c r="E65" s="5"/>
      <c r="F65" s="5"/>
      <c r="G65" s="5"/>
      <c r="H65" s="5"/>
      <c r="I65" s="50">
        <f>SUM(I5:I64)</f>
        <v>157606.35284</v>
      </c>
      <c r="J65" s="13"/>
      <c r="K65">
        <v>151377</v>
      </c>
      <c r="L65">
        <f>(I65-K65)/K65</f>
        <v>0.0411512504541638</v>
      </c>
    </row>
    <row r="66" ht="16.5" spans="1:10">
      <c r="A66" s="22" t="s">
        <v>41</v>
      </c>
      <c r="B66" s="22"/>
      <c r="C66" s="22"/>
      <c r="D66" s="22"/>
      <c r="E66" s="22"/>
      <c r="F66" s="22"/>
      <c r="G66" s="22"/>
      <c r="H66" s="22"/>
      <c r="I66" s="22"/>
      <c r="J66" s="22"/>
    </row>
    <row r="67" ht="16.5" spans="1:10">
      <c r="A67" s="22" t="s">
        <v>47</v>
      </c>
      <c r="B67" s="22"/>
      <c r="C67" s="22"/>
      <c r="D67" s="22"/>
      <c r="E67" s="22"/>
      <c r="F67" s="22"/>
      <c r="G67" s="22"/>
      <c r="H67" s="22"/>
      <c r="I67" s="22"/>
      <c r="J67" s="22"/>
    </row>
    <row r="68" ht="16.5" spans="1:10">
      <c r="A68" s="16" t="s">
        <v>43</v>
      </c>
      <c r="B68" s="16"/>
      <c r="C68" s="16"/>
      <c r="D68" s="16"/>
      <c r="E68" s="16"/>
      <c r="F68" s="16"/>
      <c r="G68" s="16"/>
      <c r="H68" s="16"/>
      <c r="I68" s="16"/>
      <c r="J68" s="16"/>
    </row>
  </sheetData>
  <autoFilter ref="A4:L68">
    <extLst/>
  </autoFilter>
  <mergeCells count="6">
    <mergeCell ref="A1:J1"/>
    <mergeCell ref="A2:F2"/>
    <mergeCell ref="A65:H65"/>
    <mergeCell ref="A66:J66"/>
    <mergeCell ref="A67:J67"/>
    <mergeCell ref="A68:J68"/>
  </mergeCells>
  <pageMargins left="0.75" right="0.75" top="1" bottom="1" header="0.5" footer="0.5"/>
  <pageSetup paperSize="9" orientation="portrait"/>
  <headerFooter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0"/>
  <dimension ref="A1:Q43"/>
  <sheetViews>
    <sheetView topLeftCell="A34" workbookViewId="0">
      <selection activeCell="O1" sqref="O$1:T$1048576"/>
    </sheetView>
  </sheetViews>
  <sheetFormatPr defaultColWidth="9" defaultRowHeight="13.5"/>
  <cols>
    <col min="1" max="1" width="8.675" customWidth="1"/>
    <col min="2" max="2" width="7.375" customWidth="1"/>
    <col min="3" max="3" width="9.25" customWidth="1"/>
    <col min="4" max="5" width="9.125" customWidth="1"/>
    <col min="6" max="6" width="9" customWidth="1"/>
    <col min="7" max="7" width="8.675" customWidth="1"/>
    <col min="8" max="8" width="6.875" customWidth="1"/>
    <col min="9" max="9" width="10.5" style="14" customWidth="1"/>
    <col min="10" max="10" width="8.5" customWidth="1"/>
    <col min="11" max="11" width="11.175" hidden="1" customWidth="1"/>
    <col min="12" max="12" width="12.625" hidden="1" customWidth="1"/>
    <col min="13" max="14" width="11.5" hidden="1" customWidth="1"/>
    <col min="15" max="20" width="9" hidden="1" customWidth="1"/>
  </cols>
  <sheetData>
    <row r="1" ht="28.5" customHeight="1" spans="1:12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  <c r="K1" s="24"/>
      <c r="L1" s="24"/>
    </row>
    <row r="2" ht="28.5" customHeight="1" spans="1:12">
      <c r="A2" s="15" t="s">
        <v>20</v>
      </c>
      <c r="B2" s="15"/>
      <c r="C2" s="15"/>
      <c r="D2" s="15"/>
      <c r="E2" s="15"/>
      <c r="F2" s="15"/>
      <c r="G2" s="15"/>
      <c r="H2" s="15"/>
      <c r="I2" s="23"/>
      <c r="J2" s="15"/>
      <c r="K2" s="24"/>
      <c r="L2" s="24"/>
    </row>
    <row r="3" ht="22.5" customHeight="1" spans="1:12">
      <c r="A3" s="16" t="s">
        <v>21</v>
      </c>
      <c r="B3" s="17"/>
      <c r="C3" s="17"/>
      <c r="D3" s="17"/>
      <c r="E3" s="17"/>
      <c r="F3" s="17"/>
      <c r="G3" s="17"/>
      <c r="H3" s="17"/>
      <c r="I3" s="25"/>
      <c r="J3" s="26"/>
      <c r="K3" s="27"/>
      <c r="L3" s="27"/>
    </row>
    <row r="4" ht="22.5" customHeight="1" spans="1:12">
      <c r="A4" s="18" t="s">
        <v>1135</v>
      </c>
      <c r="B4" s="19"/>
      <c r="C4" s="19"/>
      <c r="D4" s="17"/>
      <c r="E4" s="19"/>
      <c r="F4" s="19"/>
      <c r="G4" s="17"/>
      <c r="H4" s="17"/>
      <c r="I4" s="28"/>
      <c r="J4" s="26"/>
      <c r="K4" s="27"/>
      <c r="L4" s="27"/>
    </row>
    <row r="5" ht="22.5" customHeight="1" spans="1:12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29" t="s">
        <v>29</v>
      </c>
      <c r="J5" s="11" t="s">
        <v>30</v>
      </c>
      <c r="K5" s="30"/>
      <c r="L5" s="30"/>
    </row>
    <row r="6" ht="22.5" customHeight="1" spans="1:12">
      <c r="A6" s="20">
        <v>1</v>
      </c>
      <c r="B6" s="20" t="s">
        <v>31</v>
      </c>
      <c r="C6" s="21" t="s">
        <v>32</v>
      </c>
      <c r="D6" s="35">
        <v>12</v>
      </c>
      <c r="E6" s="35">
        <v>1500</v>
      </c>
      <c r="F6" s="35">
        <v>6500</v>
      </c>
      <c r="G6" s="20" t="s">
        <v>33</v>
      </c>
      <c r="H6" s="35">
        <v>1</v>
      </c>
      <c r="I6" s="36">
        <f t="shared" ref="I6:I9" si="0">H6*F6*E6*D6*7.85/1000000</f>
        <v>918.45</v>
      </c>
      <c r="J6" s="35" t="s">
        <v>17</v>
      </c>
      <c r="K6" s="37" t="s">
        <v>1136</v>
      </c>
      <c r="L6" s="8">
        <v>1</v>
      </c>
    </row>
    <row r="7" ht="22.5" customHeight="1" spans="1:12">
      <c r="A7" s="20">
        <v>2</v>
      </c>
      <c r="B7" s="20" t="s">
        <v>31</v>
      </c>
      <c r="C7" s="21" t="s">
        <v>32</v>
      </c>
      <c r="D7" s="35">
        <v>12</v>
      </c>
      <c r="E7" s="35">
        <v>1500</v>
      </c>
      <c r="F7" s="35">
        <v>7990</v>
      </c>
      <c r="G7" s="20" t="s">
        <v>33</v>
      </c>
      <c r="H7" s="35">
        <v>1</v>
      </c>
      <c r="I7" s="36">
        <f t="shared" si="0"/>
        <v>1128.987</v>
      </c>
      <c r="J7" s="38" t="s">
        <v>234</v>
      </c>
      <c r="K7" s="37" t="s">
        <v>1137</v>
      </c>
      <c r="L7" s="8">
        <v>1</v>
      </c>
    </row>
    <row r="8" ht="22.5" customHeight="1" spans="1:12">
      <c r="A8" s="20">
        <v>3</v>
      </c>
      <c r="B8" s="20" t="s">
        <v>31</v>
      </c>
      <c r="C8" s="21" t="s">
        <v>32</v>
      </c>
      <c r="D8" s="35">
        <v>12</v>
      </c>
      <c r="E8" s="35">
        <f>1960+40</f>
        <v>2000</v>
      </c>
      <c r="F8" s="35">
        <v>5010</v>
      </c>
      <c r="G8" s="20" t="s">
        <v>33</v>
      </c>
      <c r="H8" s="35">
        <v>1</v>
      </c>
      <c r="I8" s="36">
        <f t="shared" si="0"/>
        <v>943.884</v>
      </c>
      <c r="J8" s="35" t="s">
        <v>16</v>
      </c>
      <c r="K8" s="37" t="s">
        <v>1138</v>
      </c>
      <c r="L8" s="8">
        <v>1</v>
      </c>
    </row>
    <row r="9" ht="22.5" customHeight="1" spans="1:12">
      <c r="A9" s="20">
        <v>4</v>
      </c>
      <c r="B9" s="20" t="s">
        <v>31</v>
      </c>
      <c r="C9" s="21" t="s">
        <v>32</v>
      </c>
      <c r="D9" s="35">
        <v>12</v>
      </c>
      <c r="E9" s="35">
        <f>1960+40</f>
        <v>2000</v>
      </c>
      <c r="F9" s="35">
        <v>10020</v>
      </c>
      <c r="G9" s="20" t="s">
        <v>33</v>
      </c>
      <c r="H9" s="35">
        <v>1</v>
      </c>
      <c r="I9" s="36">
        <f t="shared" si="0"/>
        <v>1887.768</v>
      </c>
      <c r="J9" s="35" t="s">
        <v>16</v>
      </c>
      <c r="K9" s="37" t="s">
        <v>1139</v>
      </c>
      <c r="L9" s="8">
        <v>1</v>
      </c>
    </row>
    <row r="10" ht="22.5" customHeight="1" spans="1:17">
      <c r="A10" s="20">
        <v>5</v>
      </c>
      <c r="B10" s="20" t="s">
        <v>31</v>
      </c>
      <c r="C10" s="21" t="s">
        <v>32</v>
      </c>
      <c r="D10" s="8">
        <v>16</v>
      </c>
      <c r="E10" s="8">
        <v>1500</v>
      </c>
      <c r="F10" s="8">
        <v>7420</v>
      </c>
      <c r="G10" s="20" t="s">
        <v>33</v>
      </c>
      <c r="H10" s="8">
        <v>3</v>
      </c>
      <c r="I10" s="36">
        <f t="shared" ref="I10:I39" si="1">H10*F10*E10*D10*7.85/1000000</f>
        <v>4193.784</v>
      </c>
      <c r="J10" s="20" t="s">
        <v>11</v>
      </c>
      <c r="K10" s="32"/>
      <c r="L10" s="32"/>
      <c r="O10" s="33" t="s">
        <v>1140</v>
      </c>
      <c r="P10" s="33" t="s">
        <v>1141</v>
      </c>
      <c r="Q10" s="33" t="s">
        <v>1142</v>
      </c>
    </row>
    <row r="11" ht="22.5" customHeight="1" spans="1:15">
      <c r="A11" s="20">
        <v>6</v>
      </c>
      <c r="B11" s="20" t="s">
        <v>31</v>
      </c>
      <c r="C11" s="21" t="s">
        <v>32</v>
      </c>
      <c r="D11" s="8">
        <v>16</v>
      </c>
      <c r="E11" s="8">
        <v>1500</v>
      </c>
      <c r="F11" s="8">
        <v>8020</v>
      </c>
      <c r="G11" s="20" t="s">
        <v>33</v>
      </c>
      <c r="H11" s="8">
        <v>1</v>
      </c>
      <c r="I11" s="36">
        <f t="shared" si="1"/>
        <v>1510.968</v>
      </c>
      <c r="J11" s="20" t="s">
        <v>34</v>
      </c>
      <c r="K11" s="32"/>
      <c r="L11" s="32"/>
      <c r="O11" s="33" t="s">
        <v>1143</v>
      </c>
    </row>
    <row r="12" ht="22.5" customHeight="1" spans="1:17">
      <c r="A12" s="20">
        <v>7</v>
      </c>
      <c r="B12" s="20" t="s">
        <v>31</v>
      </c>
      <c r="C12" s="21" t="s">
        <v>32</v>
      </c>
      <c r="D12" s="8">
        <v>16</v>
      </c>
      <c r="E12" s="8">
        <v>1500</v>
      </c>
      <c r="F12" s="8">
        <v>9700</v>
      </c>
      <c r="G12" s="20" t="s">
        <v>33</v>
      </c>
      <c r="H12" s="8">
        <v>3</v>
      </c>
      <c r="I12" s="36">
        <f t="shared" si="1"/>
        <v>5482.44</v>
      </c>
      <c r="J12" s="20" t="s">
        <v>11</v>
      </c>
      <c r="K12" s="32"/>
      <c r="L12" s="32"/>
      <c r="O12" s="33" t="s">
        <v>1144</v>
      </c>
      <c r="P12" s="33" t="s">
        <v>1145</v>
      </c>
      <c r="Q12" s="33" t="s">
        <v>1146</v>
      </c>
    </row>
    <row r="13" ht="22.5" customHeight="1" spans="1:15">
      <c r="A13" s="20">
        <v>8</v>
      </c>
      <c r="B13" s="20" t="s">
        <v>31</v>
      </c>
      <c r="C13" s="21" t="s">
        <v>32</v>
      </c>
      <c r="D13" s="8">
        <v>16</v>
      </c>
      <c r="E13" s="8">
        <v>1500</v>
      </c>
      <c r="F13" s="8">
        <v>10000</v>
      </c>
      <c r="G13" s="20" t="s">
        <v>33</v>
      </c>
      <c r="H13" s="8">
        <v>1</v>
      </c>
      <c r="I13" s="36">
        <f t="shared" si="1"/>
        <v>1884</v>
      </c>
      <c r="J13" s="20" t="s">
        <v>34</v>
      </c>
      <c r="K13" s="32"/>
      <c r="L13" s="32"/>
      <c r="O13" s="33" t="s">
        <v>1147</v>
      </c>
    </row>
    <row r="14" ht="22.5" customHeight="1" spans="1:15">
      <c r="A14" s="20">
        <v>9</v>
      </c>
      <c r="B14" s="20" t="s">
        <v>31</v>
      </c>
      <c r="C14" s="21" t="s">
        <v>32</v>
      </c>
      <c r="D14" s="8">
        <v>16</v>
      </c>
      <c r="E14" s="8">
        <v>1500</v>
      </c>
      <c r="F14" s="8">
        <v>11890</v>
      </c>
      <c r="G14" s="20" t="s">
        <v>33</v>
      </c>
      <c r="H14" s="8">
        <v>1</v>
      </c>
      <c r="I14" s="36">
        <f t="shared" si="1"/>
        <v>2240.076</v>
      </c>
      <c r="J14" s="20" t="s">
        <v>34</v>
      </c>
      <c r="K14" s="32"/>
      <c r="L14" s="32"/>
      <c r="O14" s="33" t="s">
        <v>1148</v>
      </c>
    </row>
    <row r="15" ht="22.5" customHeight="1" spans="1:15">
      <c r="A15" s="20">
        <v>10</v>
      </c>
      <c r="B15" s="20" t="s">
        <v>31</v>
      </c>
      <c r="C15" s="21" t="s">
        <v>32</v>
      </c>
      <c r="D15" s="8">
        <v>16</v>
      </c>
      <c r="E15" s="8">
        <v>1500</v>
      </c>
      <c r="F15" s="8">
        <v>11900</v>
      </c>
      <c r="G15" s="20" t="s">
        <v>33</v>
      </c>
      <c r="H15" s="8">
        <v>1</v>
      </c>
      <c r="I15" s="36">
        <f t="shared" si="1"/>
        <v>2241.96</v>
      </c>
      <c r="J15" s="20" t="s">
        <v>34</v>
      </c>
      <c r="K15" s="32"/>
      <c r="L15" s="32"/>
      <c r="O15" s="33" t="s">
        <v>1149</v>
      </c>
    </row>
    <row r="16" ht="22.5" customHeight="1" spans="1:16">
      <c r="A16" s="20">
        <v>11</v>
      </c>
      <c r="B16" s="20" t="s">
        <v>31</v>
      </c>
      <c r="C16" s="21" t="s">
        <v>32</v>
      </c>
      <c r="D16" s="8">
        <v>16</v>
      </c>
      <c r="E16" s="8">
        <v>1800</v>
      </c>
      <c r="F16" s="8">
        <v>7250</v>
      </c>
      <c r="G16" s="20" t="s">
        <v>33</v>
      </c>
      <c r="H16" s="8">
        <v>2</v>
      </c>
      <c r="I16" s="36">
        <f t="shared" si="1"/>
        <v>3278.16</v>
      </c>
      <c r="J16" s="20" t="s">
        <v>11</v>
      </c>
      <c r="K16" s="32"/>
      <c r="L16" s="32"/>
      <c r="O16" s="33" t="s">
        <v>1150</v>
      </c>
      <c r="P16" s="33" t="s">
        <v>1151</v>
      </c>
    </row>
    <row r="17" ht="22.5" customHeight="1" spans="1:15">
      <c r="A17" s="20">
        <v>12</v>
      </c>
      <c r="B17" s="20" t="s">
        <v>31</v>
      </c>
      <c r="C17" s="21" t="s">
        <v>32</v>
      </c>
      <c r="D17" s="8">
        <v>16</v>
      </c>
      <c r="E17" s="8">
        <v>1800</v>
      </c>
      <c r="F17" s="8">
        <v>7610</v>
      </c>
      <c r="G17" s="20" t="s">
        <v>33</v>
      </c>
      <c r="H17" s="8">
        <v>1</v>
      </c>
      <c r="I17" s="36">
        <f t="shared" si="1"/>
        <v>1720.4688</v>
      </c>
      <c r="J17" s="20" t="s">
        <v>11</v>
      </c>
      <c r="K17" s="32"/>
      <c r="L17" s="32"/>
      <c r="O17" s="33" t="s">
        <v>1152</v>
      </c>
    </row>
    <row r="18" ht="22.5" customHeight="1" spans="1:15">
      <c r="A18" s="20">
        <v>13</v>
      </c>
      <c r="B18" s="20" t="s">
        <v>31</v>
      </c>
      <c r="C18" s="21" t="s">
        <v>32</v>
      </c>
      <c r="D18" s="8">
        <v>16</v>
      </c>
      <c r="E18" s="8">
        <v>1800</v>
      </c>
      <c r="F18" s="8">
        <v>7840</v>
      </c>
      <c r="G18" s="20" t="s">
        <v>33</v>
      </c>
      <c r="H18" s="8">
        <v>1</v>
      </c>
      <c r="I18" s="36">
        <f t="shared" si="1"/>
        <v>1772.4672</v>
      </c>
      <c r="J18" s="20" t="s">
        <v>11</v>
      </c>
      <c r="K18" s="32"/>
      <c r="L18" s="32"/>
      <c r="O18" s="33" t="s">
        <v>1153</v>
      </c>
    </row>
    <row r="19" ht="22.5" customHeight="1" spans="1:15">
      <c r="A19" s="20">
        <v>14</v>
      </c>
      <c r="B19" s="20" t="s">
        <v>31</v>
      </c>
      <c r="C19" s="21" t="s">
        <v>32</v>
      </c>
      <c r="D19" s="8">
        <v>16</v>
      </c>
      <c r="E19" s="8">
        <v>1800</v>
      </c>
      <c r="F19" s="8">
        <v>8020</v>
      </c>
      <c r="G19" s="20" t="s">
        <v>33</v>
      </c>
      <c r="H19" s="8">
        <v>1</v>
      </c>
      <c r="I19" s="36">
        <f t="shared" si="1"/>
        <v>1813.1616</v>
      </c>
      <c r="J19" s="20" t="s">
        <v>12</v>
      </c>
      <c r="K19" s="32"/>
      <c r="L19" s="32"/>
      <c r="O19" s="33" t="s">
        <v>1154</v>
      </c>
    </row>
    <row r="20" ht="22.5" customHeight="1" spans="1:16">
      <c r="A20" s="20">
        <v>15</v>
      </c>
      <c r="B20" s="20" t="s">
        <v>31</v>
      </c>
      <c r="C20" s="21" t="s">
        <v>32</v>
      </c>
      <c r="D20" s="8">
        <v>16</v>
      </c>
      <c r="E20" s="8">
        <v>1800</v>
      </c>
      <c r="F20" s="8">
        <v>8110</v>
      </c>
      <c r="G20" s="20" t="s">
        <v>33</v>
      </c>
      <c r="H20" s="8">
        <v>2</v>
      </c>
      <c r="I20" s="36">
        <f t="shared" si="1"/>
        <v>3667.0176</v>
      </c>
      <c r="J20" s="20" t="s">
        <v>11</v>
      </c>
      <c r="K20" s="32"/>
      <c r="L20" s="32"/>
      <c r="O20" s="33" t="s">
        <v>1155</v>
      </c>
      <c r="P20" s="33" t="s">
        <v>1156</v>
      </c>
    </row>
    <row r="21" ht="22.5" customHeight="1" spans="1:15">
      <c r="A21" s="20">
        <v>16</v>
      </c>
      <c r="B21" s="20" t="s">
        <v>31</v>
      </c>
      <c r="C21" s="21" t="s">
        <v>32</v>
      </c>
      <c r="D21" s="8">
        <v>16</v>
      </c>
      <c r="E21" s="8">
        <v>1800</v>
      </c>
      <c r="F21" s="8">
        <v>8210</v>
      </c>
      <c r="G21" s="20" t="s">
        <v>33</v>
      </c>
      <c r="H21" s="8">
        <v>1</v>
      </c>
      <c r="I21" s="36">
        <f t="shared" si="1"/>
        <v>1856.1168</v>
      </c>
      <c r="J21" s="20" t="s">
        <v>34</v>
      </c>
      <c r="K21" s="32"/>
      <c r="L21" s="32"/>
      <c r="O21" s="33" t="s">
        <v>1157</v>
      </c>
    </row>
    <row r="22" ht="22.5" customHeight="1" spans="1:16">
      <c r="A22" s="20">
        <v>17</v>
      </c>
      <c r="B22" s="20" t="s">
        <v>31</v>
      </c>
      <c r="C22" s="21" t="s">
        <v>32</v>
      </c>
      <c r="D22" s="8">
        <v>16</v>
      </c>
      <c r="E22" s="8">
        <v>1800</v>
      </c>
      <c r="F22" s="8">
        <v>8280</v>
      </c>
      <c r="G22" s="20" t="s">
        <v>33</v>
      </c>
      <c r="H22" s="8">
        <v>2</v>
      </c>
      <c r="I22" s="36">
        <f t="shared" si="1"/>
        <v>3743.8848</v>
      </c>
      <c r="J22" s="20" t="s">
        <v>34</v>
      </c>
      <c r="K22" s="32"/>
      <c r="L22" s="32"/>
      <c r="O22" s="33" t="s">
        <v>1158</v>
      </c>
      <c r="P22" s="33" t="s">
        <v>1159</v>
      </c>
    </row>
    <row r="23" ht="22.5" customHeight="1" spans="1:15">
      <c r="A23" s="20">
        <v>18</v>
      </c>
      <c r="B23" s="20" t="s">
        <v>31</v>
      </c>
      <c r="C23" s="21" t="s">
        <v>32</v>
      </c>
      <c r="D23" s="8">
        <v>16</v>
      </c>
      <c r="E23" s="8">
        <v>1800</v>
      </c>
      <c r="F23" s="8">
        <v>10000</v>
      </c>
      <c r="G23" s="20" t="s">
        <v>33</v>
      </c>
      <c r="H23" s="8">
        <v>1</v>
      </c>
      <c r="I23" s="36">
        <f t="shared" si="1"/>
        <v>2260.8</v>
      </c>
      <c r="J23" s="20" t="s">
        <v>12</v>
      </c>
      <c r="K23" s="32"/>
      <c r="L23" s="32"/>
      <c r="O23" s="33" t="s">
        <v>1160</v>
      </c>
    </row>
    <row r="24" ht="22.5" customHeight="1" spans="1:15">
      <c r="A24" s="20">
        <v>19</v>
      </c>
      <c r="B24" s="20" t="s">
        <v>31</v>
      </c>
      <c r="C24" s="21" t="s">
        <v>32</v>
      </c>
      <c r="D24" s="8">
        <v>16</v>
      </c>
      <c r="E24" s="8">
        <v>1800</v>
      </c>
      <c r="F24" s="8">
        <v>11130</v>
      </c>
      <c r="G24" s="20" t="s">
        <v>33</v>
      </c>
      <c r="H24" s="8">
        <v>1</v>
      </c>
      <c r="I24" s="36">
        <f t="shared" si="1"/>
        <v>2516.2704</v>
      </c>
      <c r="J24" s="20" t="s">
        <v>12</v>
      </c>
      <c r="K24" s="32"/>
      <c r="L24" s="32"/>
      <c r="O24" s="33" t="s">
        <v>1161</v>
      </c>
    </row>
    <row r="25" ht="22.5" customHeight="1" spans="1:15">
      <c r="A25" s="20">
        <v>20</v>
      </c>
      <c r="B25" s="20" t="s">
        <v>31</v>
      </c>
      <c r="C25" s="21" t="s">
        <v>32</v>
      </c>
      <c r="D25" s="8">
        <v>16</v>
      </c>
      <c r="E25" s="8">
        <v>1800</v>
      </c>
      <c r="F25" s="8">
        <v>11220</v>
      </c>
      <c r="G25" s="20" t="s">
        <v>33</v>
      </c>
      <c r="H25" s="8">
        <v>1</v>
      </c>
      <c r="I25" s="36">
        <f t="shared" si="1"/>
        <v>2536.6176</v>
      </c>
      <c r="J25" s="20" t="s">
        <v>12</v>
      </c>
      <c r="K25" s="32"/>
      <c r="L25" s="32"/>
      <c r="O25" s="33" t="s">
        <v>1162</v>
      </c>
    </row>
    <row r="26" ht="22.5" customHeight="1" spans="1:15">
      <c r="A26" s="20">
        <v>21</v>
      </c>
      <c r="B26" s="20" t="s">
        <v>31</v>
      </c>
      <c r="C26" s="21" t="s">
        <v>32</v>
      </c>
      <c r="D26" s="8">
        <v>16</v>
      </c>
      <c r="E26" s="8">
        <v>1800</v>
      </c>
      <c r="F26" s="8">
        <v>11940</v>
      </c>
      <c r="G26" s="20" t="s">
        <v>33</v>
      </c>
      <c r="H26" s="8">
        <v>1</v>
      </c>
      <c r="I26" s="36">
        <f t="shared" si="1"/>
        <v>2699.3952</v>
      </c>
      <c r="J26" s="20" t="s">
        <v>12</v>
      </c>
      <c r="K26" s="32"/>
      <c r="L26" s="32"/>
      <c r="O26" s="33" t="s">
        <v>1163</v>
      </c>
    </row>
    <row r="27" ht="22.5" customHeight="1" spans="1:15">
      <c r="A27" s="20">
        <v>22</v>
      </c>
      <c r="B27" s="20" t="s">
        <v>31</v>
      </c>
      <c r="C27" s="21" t="s">
        <v>32</v>
      </c>
      <c r="D27" s="8">
        <v>16</v>
      </c>
      <c r="E27" s="8">
        <v>1800</v>
      </c>
      <c r="F27" s="8">
        <v>11980</v>
      </c>
      <c r="G27" s="20" t="s">
        <v>33</v>
      </c>
      <c r="H27" s="8">
        <v>1</v>
      </c>
      <c r="I27" s="36">
        <f t="shared" si="1"/>
        <v>2708.4384</v>
      </c>
      <c r="J27" s="20" t="s">
        <v>12</v>
      </c>
      <c r="K27" s="32"/>
      <c r="L27" s="32"/>
      <c r="O27" s="33" t="s">
        <v>1164</v>
      </c>
    </row>
    <row r="28" ht="22.5" customHeight="1" spans="1:15">
      <c r="A28" s="20">
        <v>23</v>
      </c>
      <c r="B28" s="20" t="s">
        <v>31</v>
      </c>
      <c r="C28" s="21" t="s">
        <v>32</v>
      </c>
      <c r="D28" s="8">
        <v>16</v>
      </c>
      <c r="E28" s="8">
        <v>1800</v>
      </c>
      <c r="F28" s="8">
        <v>12100</v>
      </c>
      <c r="G28" s="20" t="s">
        <v>33</v>
      </c>
      <c r="H28" s="8">
        <v>1</v>
      </c>
      <c r="I28" s="36">
        <f t="shared" si="1"/>
        <v>2735.568</v>
      </c>
      <c r="J28" s="20" t="s">
        <v>12</v>
      </c>
      <c r="K28" s="32"/>
      <c r="L28" s="32"/>
      <c r="O28" s="33" t="s">
        <v>1165</v>
      </c>
    </row>
    <row r="29" ht="22.5" customHeight="1" spans="1:15">
      <c r="A29" s="20">
        <v>24</v>
      </c>
      <c r="B29" s="20" t="s">
        <v>31</v>
      </c>
      <c r="C29" s="21" t="s">
        <v>32</v>
      </c>
      <c r="D29" s="8">
        <v>16</v>
      </c>
      <c r="E29" s="8">
        <v>1800</v>
      </c>
      <c r="F29" s="8">
        <v>12340</v>
      </c>
      <c r="G29" s="20" t="s">
        <v>33</v>
      </c>
      <c r="H29" s="8">
        <v>1</v>
      </c>
      <c r="I29" s="36">
        <f t="shared" si="1"/>
        <v>2789.8272</v>
      </c>
      <c r="J29" s="20" t="s">
        <v>12</v>
      </c>
      <c r="K29" s="32"/>
      <c r="L29" s="32"/>
      <c r="O29" s="33" t="s">
        <v>1166</v>
      </c>
    </row>
    <row r="30" ht="22.5" customHeight="1" spans="1:16">
      <c r="A30" s="20">
        <v>25</v>
      </c>
      <c r="B30" s="20" t="s">
        <v>31</v>
      </c>
      <c r="C30" s="21" t="s">
        <v>32</v>
      </c>
      <c r="D30" s="8">
        <v>16</v>
      </c>
      <c r="E30" s="8">
        <v>2000</v>
      </c>
      <c r="F30" s="8">
        <v>7320</v>
      </c>
      <c r="G30" s="20" t="s">
        <v>33</v>
      </c>
      <c r="H30" s="8">
        <v>2</v>
      </c>
      <c r="I30" s="36">
        <f t="shared" si="1"/>
        <v>3677.568</v>
      </c>
      <c r="J30" s="20" t="s">
        <v>11</v>
      </c>
      <c r="K30" s="32"/>
      <c r="L30" s="32"/>
      <c r="O30" s="33" t="s">
        <v>1167</v>
      </c>
      <c r="P30" s="33" t="s">
        <v>1168</v>
      </c>
    </row>
    <row r="31" ht="22.5" customHeight="1" spans="1:15">
      <c r="A31" s="20">
        <v>26</v>
      </c>
      <c r="B31" s="20" t="s">
        <v>31</v>
      </c>
      <c r="C31" s="21" t="s">
        <v>32</v>
      </c>
      <c r="D31" s="8">
        <v>16</v>
      </c>
      <c r="E31" s="8">
        <v>2000</v>
      </c>
      <c r="F31" s="8">
        <v>7360</v>
      </c>
      <c r="G31" s="20" t="s">
        <v>33</v>
      </c>
      <c r="H31" s="8">
        <v>1</v>
      </c>
      <c r="I31" s="36">
        <f t="shared" si="1"/>
        <v>1848.832</v>
      </c>
      <c r="J31" s="20" t="s">
        <v>11</v>
      </c>
      <c r="K31" s="32"/>
      <c r="L31" s="32"/>
      <c r="O31" s="33" t="s">
        <v>1169</v>
      </c>
    </row>
    <row r="32" ht="22.5" customHeight="1" spans="1:15">
      <c r="A32" s="20">
        <v>27</v>
      </c>
      <c r="B32" s="20" t="s">
        <v>31</v>
      </c>
      <c r="C32" s="21" t="s">
        <v>32</v>
      </c>
      <c r="D32" s="8">
        <v>16</v>
      </c>
      <c r="E32" s="8">
        <v>2000</v>
      </c>
      <c r="F32" s="8">
        <v>7560</v>
      </c>
      <c r="G32" s="20" t="s">
        <v>33</v>
      </c>
      <c r="H32" s="8">
        <v>1</v>
      </c>
      <c r="I32" s="36">
        <f t="shared" si="1"/>
        <v>1899.072</v>
      </c>
      <c r="J32" s="20" t="s">
        <v>11</v>
      </c>
      <c r="K32" s="32"/>
      <c r="L32" s="32"/>
      <c r="O32" s="33" t="s">
        <v>1170</v>
      </c>
    </row>
    <row r="33" ht="22.5" customHeight="1" spans="1:15">
      <c r="A33" s="20">
        <v>28</v>
      </c>
      <c r="B33" s="20" t="s">
        <v>31</v>
      </c>
      <c r="C33" s="21" t="s">
        <v>32</v>
      </c>
      <c r="D33" s="8">
        <v>16</v>
      </c>
      <c r="E33" s="8">
        <v>2000</v>
      </c>
      <c r="F33" s="8">
        <v>7630</v>
      </c>
      <c r="G33" s="20" t="s">
        <v>33</v>
      </c>
      <c r="H33" s="8">
        <v>1</v>
      </c>
      <c r="I33" s="36">
        <f t="shared" si="1"/>
        <v>1916.656</v>
      </c>
      <c r="J33" s="20" t="s">
        <v>11</v>
      </c>
      <c r="K33" s="32"/>
      <c r="L33" s="32"/>
      <c r="O33" s="33" t="s">
        <v>1171</v>
      </c>
    </row>
    <row r="34" ht="22.5" customHeight="1" spans="1:15">
      <c r="A34" s="20">
        <v>29</v>
      </c>
      <c r="B34" s="20" t="s">
        <v>31</v>
      </c>
      <c r="C34" s="21" t="s">
        <v>32</v>
      </c>
      <c r="D34" s="8">
        <v>16</v>
      </c>
      <c r="E34" s="8">
        <v>2000</v>
      </c>
      <c r="F34" s="8">
        <v>7850</v>
      </c>
      <c r="G34" s="20" t="s">
        <v>33</v>
      </c>
      <c r="H34" s="8">
        <v>1</v>
      </c>
      <c r="I34" s="36">
        <f t="shared" si="1"/>
        <v>1971.92</v>
      </c>
      <c r="J34" s="20" t="s">
        <v>11</v>
      </c>
      <c r="K34" s="32"/>
      <c r="L34" s="32"/>
      <c r="O34" s="33" t="s">
        <v>1172</v>
      </c>
    </row>
    <row r="35" ht="22.5" customHeight="1" spans="1:16">
      <c r="A35" s="20">
        <v>30</v>
      </c>
      <c r="B35" s="20" t="s">
        <v>31</v>
      </c>
      <c r="C35" s="21" t="s">
        <v>32</v>
      </c>
      <c r="D35" s="8">
        <v>16</v>
      </c>
      <c r="E35" s="8">
        <v>2000</v>
      </c>
      <c r="F35" s="8">
        <v>8110</v>
      </c>
      <c r="G35" s="20" t="s">
        <v>33</v>
      </c>
      <c r="H35" s="8">
        <v>2</v>
      </c>
      <c r="I35" s="36">
        <f t="shared" si="1"/>
        <v>4074.464</v>
      </c>
      <c r="J35" s="20" t="s">
        <v>11</v>
      </c>
      <c r="K35" s="32"/>
      <c r="L35" s="32"/>
      <c r="O35" s="33" t="s">
        <v>1173</v>
      </c>
      <c r="P35" s="33" t="s">
        <v>1174</v>
      </c>
    </row>
    <row r="36" ht="22.5" customHeight="1" spans="1:15">
      <c r="A36" s="20">
        <v>31</v>
      </c>
      <c r="B36" s="20" t="s">
        <v>31</v>
      </c>
      <c r="C36" s="21" t="s">
        <v>32</v>
      </c>
      <c r="D36" s="8">
        <v>16</v>
      </c>
      <c r="E36" s="8">
        <v>2000</v>
      </c>
      <c r="F36" s="8">
        <v>8280</v>
      </c>
      <c r="G36" s="20" t="s">
        <v>33</v>
      </c>
      <c r="H36" s="8">
        <v>1</v>
      </c>
      <c r="I36" s="36">
        <f t="shared" si="1"/>
        <v>2079.936</v>
      </c>
      <c r="J36" s="20" t="s">
        <v>11</v>
      </c>
      <c r="K36" s="32"/>
      <c r="L36" s="32"/>
      <c r="O36" s="33" t="s">
        <v>1175</v>
      </c>
    </row>
    <row r="37" ht="22.5" customHeight="1" spans="1:15">
      <c r="A37" s="20">
        <v>32</v>
      </c>
      <c r="B37" s="20" t="s">
        <v>31</v>
      </c>
      <c r="C37" s="21" t="s">
        <v>32</v>
      </c>
      <c r="D37" s="8">
        <v>16</v>
      </c>
      <c r="E37" s="8">
        <v>2000</v>
      </c>
      <c r="F37" s="8">
        <v>10000</v>
      </c>
      <c r="G37" s="20" t="s">
        <v>33</v>
      </c>
      <c r="H37" s="8">
        <v>1</v>
      </c>
      <c r="I37" s="36">
        <f t="shared" si="1"/>
        <v>2512</v>
      </c>
      <c r="J37" s="20" t="s">
        <v>34</v>
      </c>
      <c r="K37" s="32"/>
      <c r="L37" s="32"/>
      <c r="O37" s="33" t="s">
        <v>1176</v>
      </c>
    </row>
    <row r="38" ht="22.5" customHeight="1" spans="1:15">
      <c r="A38" s="20">
        <v>33</v>
      </c>
      <c r="B38" s="20" t="s">
        <v>31</v>
      </c>
      <c r="C38" s="21" t="s">
        <v>32</v>
      </c>
      <c r="D38" s="8">
        <v>16</v>
      </c>
      <c r="E38" s="8">
        <v>2000</v>
      </c>
      <c r="F38" s="8">
        <v>12410</v>
      </c>
      <c r="G38" s="20" t="s">
        <v>33</v>
      </c>
      <c r="H38" s="8">
        <v>1</v>
      </c>
      <c r="I38" s="36">
        <f t="shared" si="1"/>
        <v>3117.392</v>
      </c>
      <c r="J38" s="20" t="s">
        <v>34</v>
      </c>
      <c r="K38" s="32"/>
      <c r="L38" s="32"/>
      <c r="O38" s="33" t="s">
        <v>1177</v>
      </c>
    </row>
    <row r="39" ht="22.5" customHeight="1" spans="1:15">
      <c r="A39" s="20">
        <v>34</v>
      </c>
      <c r="B39" s="20" t="s">
        <v>31</v>
      </c>
      <c r="C39" s="21" t="s">
        <v>32</v>
      </c>
      <c r="D39" s="8">
        <v>16</v>
      </c>
      <c r="E39" s="8">
        <v>2000</v>
      </c>
      <c r="F39" s="8">
        <v>12440</v>
      </c>
      <c r="G39" s="20" t="s">
        <v>33</v>
      </c>
      <c r="H39" s="8">
        <v>1</v>
      </c>
      <c r="I39" s="36">
        <f t="shared" si="1"/>
        <v>3124.928</v>
      </c>
      <c r="J39" s="20" t="s">
        <v>34</v>
      </c>
      <c r="K39" s="32"/>
      <c r="L39" s="32"/>
      <c r="M39">
        <f>SUM(I10:I39)</f>
        <v>79874.1896</v>
      </c>
      <c r="N39">
        <f>[22]Sheet2!$O$32</f>
        <v>79874.1896</v>
      </c>
      <c r="O39" s="33" t="s">
        <v>1178</v>
      </c>
    </row>
    <row r="40" ht="16.5" spans="1:12">
      <c r="A40" s="5" t="s">
        <v>40</v>
      </c>
      <c r="B40" s="5"/>
      <c r="C40" s="5"/>
      <c r="D40" s="5"/>
      <c r="E40" s="5"/>
      <c r="F40" s="5"/>
      <c r="G40" s="5"/>
      <c r="H40" s="5"/>
      <c r="I40" s="34">
        <f>SUM(I6:I39)</f>
        <v>84753.2786</v>
      </c>
      <c r="J40" s="13"/>
      <c r="K40">
        <v>83847.47652</v>
      </c>
      <c r="L40">
        <f>[6]D桥估料表!$G$210</f>
        <v>101211.250736</v>
      </c>
    </row>
    <row r="41" ht="16.5" spans="1:12">
      <c r="A41" s="22" t="s">
        <v>41</v>
      </c>
      <c r="B41" s="22"/>
      <c r="C41" s="22"/>
      <c r="D41" s="22"/>
      <c r="E41" s="22"/>
      <c r="F41" s="22"/>
      <c r="G41" s="22"/>
      <c r="H41" s="22"/>
      <c r="I41" s="22"/>
      <c r="J41" s="22"/>
      <c r="L41">
        <v>101211.250736</v>
      </c>
    </row>
    <row r="42" ht="16.5" spans="1:10">
      <c r="A42" s="22" t="s">
        <v>401</v>
      </c>
      <c r="B42" s="22"/>
      <c r="C42" s="22"/>
      <c r="D42" s="22"/>
      <c r="E42" s="22"/>
      <c r="F42" s="22"/>
      <c r="G42" s="22"/>
      <c r="H42" s="22"/>
      <c r="I42" s="22"/>
      <c r="J42" s="22"/>
    </row>
    <row r="43" ht="16.5" spans="1:10">
      <c r="A43" s="16" t="s">
        <v>74</v>
      </c>
      <c r="B43" s="17"/>
      <c r="C43" s="17"/>
      <c r="D43" s="17"/>
      <c r="E43" s="17"/>
      <c r="F43" s="17"/>
      <c r="G43" s="17"/>
      <c r="H43" s="17"/>
      <c r="I43" s="17"/>
      <c r="J43" s="17"/>
    </row>
  </sheetData>
  <autoFilter ref="A5:J43">
    <extLst/>
  </autoFilter>
  <mergeCells count="7">
    <mergeCell ref="A1:J1"/>
    <mergeCell ref="A2:J2"/>
    <mergeCell ref="A3:F3"/>
    <mergeCell ref="A40:H40"/>
    <mergeCell ref="A41:J41"/>
    <mergeCell ref="A42:J42"/>
    <mergeCell ref="A43:J43"/>
  </mergeCells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1"/>
  <dimension ref="A1:AC46"/>
  <sheetViews>
    <sheetView topLeftCell="A38" workbookViewId="0">
      <selection activeCell="O1" sqref="O$1:AD$1048576"/>
    </sheetView>
  </sheetViews>
  <sheetFormatPr defaultColWidth="9" defaultRowHeight="13.5"/>
  <cols>
    <col min="1" max="1" width="7.5" customWidth="1"/>
    <col min="2" max="2" width="7.75" customWidth="1"/>
    <col min="3" max="3" width="9.625" customWidth="1"/>
    <col min="4" max="4" width="9.875" customWidth="1"/>
    <col min="5" max="5" width="9.625" customWidth="1"/>
    <col min="6" max="7" width="8.125" customWidth="1"/>
    <col min="8" max="8" width="6.75" customWidth="1"/>
    <col min="9" max="9" width="12" style="14" customWidth="1"/>
    <col min="10" max="10" width="8.675" customWidth="1"/>
    <col min="11" max="12" width="15.3416666666667" hidden="1" customWidth="1"/>
    <col min="13" max="13" width="12.625" hidden="1" customWidth="1"/>
    <col min="14" max="14" width="11.5" hidden="1" customWidth="1"/>
    <col min="15" max="30" width="9" hidden="1" customWidth="1"/>
  </cols>
  <sheetData>
    <row r="1" ht="28.5" customHeight="1" spans="1:12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  <c r="K1" s="24"/>
      <c r="L1" s="24"/>
    </row>
    <row r="2" ht="28.5" customHeight="1" spans="1:12">
      <c r="A2" s="15" t="s">
        <v>20</v>
      </c>
      <c r="B2" s="15"/>
      <c r="C2" s="15"/>
      <c r="D2" s="15"/>
      <c r="E2" s="15"/>
      <c r="F2" s="15"/>
      <c r="G2" s="15"/>
      <c r="H2" s="15"/>
      <c r="I2" s="23"/>
      <c r="J2" s="15"/>
      <c r="K2" s="24"/>
      <c r="L2" s="24"/>
    </row>
    <row r="3" ht="22.5" customHeight="1" spans="1:12">
      <c r="A3" s="16" t="s">
        <v>21</v>
      </c>
      <c r="B3" s="17"/>
      <c r="C3" s="17"/>
      <c r="D3" s="17"/>
      <c r="E3" s="17"/>
      <c r="F3" s="17"/>
      <c r="G3" s="17"/>
      <c r="H3" s="17"/>
      <c r="I3" s="25"/>
      <c r="J3" s="26"/>
      <c r="K3" s="27"/>
      <c r="L3" s="27"/>
    </row>
    <row r="4" ht="22.5" customHeight="1" spans="1:12">
      <c r="A4" s="18" t="s">
        <v>1179</v>
      </c>
      <c r="B4" s="19"/>
      <c r="C4" s="19"/>
      <c r="D4" s="17"/>
      <c r="E4" s="19"/>
      <c r="F4" s="19"/>
      <c r="G4" s="17"/>
      <c r="H4" s="17"/>
      <c r="I4" s="28"/>
      <c r="J4" s="26"/>
      <c r="K4" s="27"/>
      <c r="L4" s="27"/>
    </row>
    <row r="5" ht="22.5" customHeight="1" spans="1:12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29" t="s">
        <v>29</v>
      </c>
      <c r="J5" s="11" t="s">
        <v>30</v>
      </c>
      <c r="K5" s="30"/>
      <c r="L5" s="30"/>
    </row>
    <row r="6" ht="22.5" customHeight="1" spans="1:29">
      <c r="A6" s="20">
        <v>1</v>
      </c>
      <c r="B6" s="20" t="s">
        <v>31</v>
      </c>
      <c r="C6" s="21" t="s">
        <v>32</v>
      </c>
      <c r="D6" s="8">
        <v>16</v>
      </c>
      <c r="E6" s="8">
        <v>1500</v>
      </c>
      <c r="F6" s="8">
        <v>7420</v>
      </c>
      <c r="G6" s="8" t="s">
        <v>33</v>
      </c>
      <c r="H6" s="8">
        <v>15</v>
      </c>
      <c r="I6" s="31">
        <f>D6*E6*F6*H6*7.85/1000/1000</f>
        <v>20968.92</v>
      </c>
      <c r="J6" s="8" t="s">
        <v>11</v>
      </c>
      <c r="K6" s="32"/>
      <c r="L6" s="32"/>
      <c r="O6" s="33" t="s">
        <v>1180</v>
      </c>
      <c r="P6" s="33" t="s">
        <v>1181</v>
      </c>
      <c r="Q6" s="33" t="s">
        <v>1182</v>
      </c>
      <c r="R6" s="33" t="s">
        <v>1183</v>
      </c>
      <c r="S6" s="33" t="s">
        <v>1184</v>
      </c>
      <c r="T6" s="33" t="s">
        <v>1185</v>
      </c>
      <c r="U6" s="33" t="s">
        <v>1186</v>
      </c>
      <c r="V6" s="33" t="s">
        <v>1187</v>
      </c>
      <c r="W6" s="33" t="s">
        <v>1188</v>
      </c>
      <c r="X6" s="33" t="s">
        <v>1189</v>
      </c>
      <c r="Y6" s="33" t="s">
        <v>1190</v>
      </c>
      <c r="Z6" s="33" t="s">
        <v>1191</v>
      </c>
      <c r="AA6" s="33" t="s">
        <v>1192</v>
      </c>
      <c r="AB6" s="33" t="s">
        <v>1193</v>
      </c>
      <c r="AC6" s="33" t="s">
        <v>1194</v>
      </c>
    </row>
    <row r="7" ht="22.5" customHeight="1" spans="1:22">
      <c r="A7" s="20">
        <v>2</v>
      </c>
      <c r="B7" s="20" t="s">
        <v>31</v>
      </c>
      <c r="C7" s="21" t="s">
        <v>32</v>
      </c>
      <c r="D7" s="8">
        <v>16</v>
      </c>
      <c r="E7" s="8">
        <v>1500</v>
      </c>
      <c r="F7" s="8">
        <v>7430</v>
      </c>
      <c r="G7" s="8" t="s">
        <v>33</v>
      </c>
      <c r="H7" s="8">
        <v>8</v>
      </c>
      <c r="I7" s="31">
        <f t="shared" ref="I7:I45" si="0">D7*E7*F7*H7*7.85/1000/1000</f>
        <v>11198.496</v>
      </c>
      <c r="J7" s="8" t="s">
        <v>11</v>
      </c>
      <c r="K7" s="32"/>
      <c r="L7" s="32"/>
      <c r="O7" s="33" t="s">
        <v>1195</v>
      </c>
      <c r="P7" s="33" t="s">
        <v>1196</v>
      </c>
      <c r="Q7" s="33" t="s">
        <v>1197</v>
      </c>
      <c r="R7" s="33" t="s">
        <v>1198</v>
      </c>
      <c r="S7" s="33" t="s">
        <v>1199</v>
      </c>
      <c r="T7" s="33" t="s">
        <v>1200</v>
      </c>
      <c r="U7" s="33" t="s">
        <v>1201</v>
      </c>
      <c r="V7" s="33" t="s">
        <v>1202</v>
      </c>
    </row>
    <row r="8" ht="22.5" customHeight="1" spans="1:18">
      <c r="A8" s="20">
        <v>3</v>
      </c>
      <c r="B8" s="20" t="s">
        <v>31</v>
      </c>
      <c r="C8" s="21" t="s">
        <v>32</v>
      </c>
      <c r="D8" s="8">
        <v>16</v>
      </c>
      <c r="E8" s="8">
        <v>1500</v>
      </c>
      <c r="F8" s="8">
        <v>7440</v>
      </c>
      <c r="G8" s="8" t="s">
        <v>33</v>
      </c>
      <c r="H8" s="8">
        <v>4</v>
      </c>
      <c r="I8" s="31">
        <f t="shared" si="0"/>
        <v>5606.784</v>
      </c>
      <c r="J8" s="8" t="s">
        <v>11</v>
      </c>
      <c r="K8" s="32"/>
      <c r="L8" s="32"/>
      <c r="O8" s="33" t="s">
        <v>1203</v>
      </c>
      <c r="P8" s="33" t="s">
        <v>1204</v>
      </c>
      <c r="Q8" s="33" t="s">
        <v>1205</v>
      </c>
      <c r="R8" s="33" t="s">
        <v>1206</v>
      </c>
    </row>
    <row r="9" ht="22.5" customHeight="1" spans="1:17">
      <c r="A9" s="20">
        <v>4</v>
      </c>
      <c r="B9" s="20" t="s">
        <v>31</v>
      </c>
      <c r="C9" s="21" t="s">
        <v>32</v>
      </c>
      <c r="D9" s="8">
        <v>16</v>
      </c>
      <c r="E9" s="8">
        <v>1500</v>
      </c>
      <c r="F9" s="8">
        <v>7740</v>
      </c>
      <c r="G9" s="8" t="s">
        <v>33</v>
      </c>
      <c r="H9" s="8">
        <v>3</v>
      </c>
      <c r="I9" s="31">
        <f t="shared" si="0"/>
        <v>4374.648</v>
      </c>
      <c r="J9" s="8" t="s">
        <v>11</v>
      </c>
      <c r="K9" s="32"/>
      <c r="L9" s="32"/>
      <c r="O9" s="33" t="s">
        <v>1207</v>
      </c>
      <c r="P9" s="33" t="s">
        <v>1208</v>
      </c>
      <c r="Q9" s="33" t="s">
        <v>1209</v>
      </c>
    </row>
    <row r="10" ht="22.5" customHeight="1" spans="1:19">
      <c r="A10" s="20">
        <v>5</v>
      </c>
      <c r="B10" s="20" t="s">
        <v>31</v>
      </c>
      <c r="C10" s="21" t="s">
        <v>32</v>
      </c>
      <c r="D10" s="8">
        <v>16</v>
      </c>
      <c r="E10" s="8">
        <v>1500</v>
      </c>
      <c r="F10" s="8">
        <v>8020</v>
      </c>
      <c r="G10" s="8" t="s">
        <v>33</v>
      </c>
      <c r="H10" s="8">
        <v>5</v>
      </c>
      <c r="I10" s="31">
        <f t="shared" si="0"/>
        <v>7554.84</v>
      </c>
      <c r="J10" s="8" t="s">
        <v>34</v>
      </c>
      <c r="K10" s="32"/>
      <c r="L10" s="32"/>
      <c r="O10" s="33" t="s">
        <v>1210</v>
      </c>
      <c r="P10" s="33" t="s">
        <v>1211</v>
      </c>
      <c r="Q10" s="33" t="s">
        <v>1212</v>
      </c>
      <c r="R10" s="33" t="s">
        <v>1213</v>
      </c>
      <c r="S10" s="33" t="s">
        <v>1214</v>
      </c>
    </row>
    <row r="11" ht="22.5" customHeight="1" spans="1:16">
      <c r="A11" s="20">
        <v>6</v>
      </c>
      <c r="B11" s="20" t="s">
        <v>31</v>
      </c>
      <c r="C11" s="21" t="s">
        <v>32</v>
      </c>
      <c r="D11" s="8">
        <v>16</v>
      </c>
      <c r="E11" s="8">
        <v>1500</v>
      </c>
      <c r="F11" s="8">
        <v>8030</v>
      </c>
      <c r="G11" s="8" t="s">
        <v>33</v>
      </c>
      <c r="H11" s="8">
        <v>2</v>
      </c>
      <c r="I11" s="31">
        <f t="shared" si="0"/>
        <v>3025.704</v>
      </c>
      <c r="J11" s="8" t="s">
        <v>34</v>
      </c>
      <c r="K11" s="32"/>
      <c r="L11" s="32"/>
      <c r="O11" s="33" t="s">
        <v>1215</v>
      </c>
      <c r="P11" s="33" t="s">
        <v>1216</v>
      </c>
    </row>
    <row r="12" ht="22.5" customHeight="1" spans="1:17">
      <c r="A12" s="20">
        <v>7</v>
      </c>
      <c r="B12" s="20" t="s">
        <v>31</v>
      </c>
      <c r="C12" s="21" t="s">
        <v>32</v>
      </c>
      <c r="D12" s="8">
        <v>16</v>
      </c>
      <c r="E12" s="8">
        <v>1500</v>
      </c>
      <c r="F12" s="8">
        <v>8040</v>
      </c>
      <c r="G12" s="8" t="s">
        <v>33</v>
      </c>
      <c r="H12" s="8">
        <v>3</v>
      </c>
      <c r="I12" s="31">
        <f t="shared" si="0"/>
        <v>4544.208</v>
      </c>
      <c r="J12" s="8" t="s">
        <v>34</v>
      </c>
      <c r="K12" s="32"/>
      <c r="L12" s="32"/>
      <c r="O12" s="33" t="s">
        <v>1217</v>
      </c>
      <c r="P12" s="33" t="s">
        <v>1218</v>
      </c>
      <c r="Q12" s="33" t="s">
        <v>1219</v>
      </c>
    </row>
    <row r="13" ht="22.5" customHeight="1" spans="1:15">
      <c r="A13" s="20">
        <v>8</v>
      </c>
      <c r="B13" s="20" t="s">
        <v>31</v>
      </c>
      <c r="C13" s="21" t="s">
        <v>32</v>
      </c>
      <c r="D13" s="8">
        <v>16</v>
      </c>
      <c r="E13" s="8">
        <v>1800</v>
      </c>
      <c r="F13" s="8">
        <v>7360</v>
      </c>
      <c r="G13" s="8" t="s">
        <v>33</v>
      </c>
      <c r="H13" s="8">
        <v>1</v>
      </c>
      <c r="I13" s="31">
        <f t="shared" si="0"/>
        <v>1663.9488</v>
      </c>
      <c r="J13" s="8" t="s">
        <v>11</v>
      </c>
      <c r="K13" s="32"/>
      <c r="L13" s="32"/>
      <c r="O13" s="33" t="s">
        <v>1220</v>
      </c>
    </row>
    <row r="14" ht="22.5" customHeight="1" spans="1:15">
      <c r="A14" s="20">
        <v>9</v>
      </c>
      <c r="B14" s="20" t="s">
        <v>31</v>
      </c>
      <c r="C14" s="21" t="s">
        <v>32</v>
      </c>
      <c r="D14" s="8">
        <v>16</v>
      </c>
      <c r="E14" s="8">
        <v>1800</v>
      </c>
      <c r="F14" s="8">
        <v>7380</v>
      </c>
      <c r="G14" s="8" t="s">
        <v>33</v>
      </c>
      <c r="H14" s="8">
        <v>1</v>
      </c>
      <c r="I14" s="31">
        <f t="shared" si="0"/>
        <v>1668.4704</v>
      </c>
      <c r="J14" s="8" t="s">
        <v>11</v>
      </c>
      <c r="K14" s="32"/>
      <c r="L14" s="32"/>
      <c r="O14" s="33" t="s">
        <v>1221</v>
      </c>
    </row>
    <row r="15" ht="22.5" customHeight="1" spans="1:15">
      <c r="A15" s="20">
        <v>10</v>
      </c>
      <c r="B15" s="20" t="s">
        <v>31</v>
      </c>
      <c r="C15" s="21" t="s">
        <v>32</v>
      </c>
      <c r="D15" s="8">
        <v>16</v>
      </c>
      <c r="E15" s="8">
        <v>1800</v>
      </c>
      <c r="F15" s="8">
        <v>7490</v>
      </c>
      <c r="G15" s="8" t="s">
        <v>33</v>
      </c>
      <c r="H15" s="8">
        <v>1</v>
      </c>
      <c r="I15" s="31">
        <f t="shared" si="0"/>
        <v>1693.3392</v>
      </c>
      <c r="J15" s="8" t="s">
        <v>11</v>
      </c>
      <c r="K15" s="32"/>
      <c r="L15" s="32"/>
      <c r="O15" s="33" t="s">
        <v>1222</v>
      </c>
    </row>
    <row r="16" ht="22.5" customHeight="1" spans="1:17">
      <c r="A16" s="20">
        <v>11</v>
      </c>
      <c r="B16" s="20" t="s">
        <v>31</v>
      </c>
      <c r="C16" s="21" t="s">
        <v>32</v>
      </c>
      <c r="D16" s="8">
        <v>16</v>
      </c>
      <c r="E16" s="8">
        <v>1800</v>
      </c>
      <c r="F16" s="8">
        <v>7620</v>
      </c>
      <c r="G16" s="8" t="s">
        <v>33</v>
      </c>
      <c r="H16" s="8">
        <v>3</v>
      </c>
      <c r="I16" s="31">
        <f t="shared" si="0"/>
        <v>5168.1888</v>
      </c>
      <c r="J16" s="8" t="s">
        <v>12</v>
      </c>
      <c r="K16" s="32"/>
      <c r="L16" s="32"/>
      <c r="O16" s="33" t="s">
        <v>1223</v>
      </c>
      <c r="P16" s="33" t="s">
        <v>1224</v>
      </c>
      <c r="Q16" s="33" t="s">
        <v>1225</v>
      </c>
    </row>
    <row r="17" ht="22.5" customHeight="1" spans="1:15">
      <c r="A17" s="20">
        <v>12</v>
      </c>
      <c r="B17" s="20" t="s">
        <v>31</v>
      </c>
      <c r="C17" s="21" t="s">
        <v>32</v>
      </c>
      <c r="D17" s="8">
        <v>16</v>
      </c>
      <c r="E17" s="8">
        <v>1800</v>
      </c>
      <c r="F17" s="8">
        <v>7630</v>
      </c>
      <c r="G17" s="8" t="s">
        <v>33</v>
      </c>
      <c r="H17" s="8">
        <v>1</v>
      </c>
      <c r="I17" s="31">
        <f t="shared" si="0"/>
        <v>1724.9904</v>
      </c>
      <c r="J17" s="8" t="s">
        <v>12</v>
      </c>
      <c r="K17" s="32"/>
      <c r="L17" s="32"/>
      <c r="O17" s="33" t="s">
        <v>1226</v>
      </c>
    </row>
    <row r="18" ht="22.5" customHeight="1" spans="1:16">
      <c r="A18" s="20">
        <v>13</v>
      </c>
      <c r="B18" s="20" t="s">
        <v>31</v>
      </c>
      <c r="C18" s="21" t="s">
        <v>32</v>
      </c>
      <c r="D18" s="8">
        <v>16</v>
      </c>
      <c r="E18" s="8">
        <v>1800</v>
      </c>
      <c r="F18" s="8">
        <v>7640</v>
      </c>
      <c r="G18" s="8" t="s">
        <v>33</v>
      </c>
      <c r="H18" s="8">
        <v>2</v>
      </c>
      <c r="I18" s="31">
        <f t="shared" si="0"/>
        <v>3454.5024</v>
      </c>
      <c r="J18" s="8" t="s">
        <v>12</v>
      </c>
      <c r="K18" s="32"/>
      <c r="L18" s="32"/>
      <c r="O18" s="33" t="s">
        <v>1227</v>
      </c>
      <c r="P18" s="33" t="s">
        <v>1228</v>
      </c>
    </row>
    <row r="19" ht="22.5" customHeight="1" spans="1:15">
      <c r="A19" s="20">
        <v>14</v>
      </c>
      <c r="B19" s="20" t="s">
        <v>31</v>
      </c>
      <c r="C19" s="21" t="s">
        <v>32</v>
      </c>
      <c r="D19" s="8">
        <v>16</v>
      </c>
      <c r="E19" s="8">
        <v>1800</v>
      </c>
      <c r="F19" s="8">
        <v>7790</v>
      </c>
      <c r="G19" s="8" t="s">
        <v>33</v>
      </c>
      <c r="H19" s="8">
        <v>1</v>
      </c>
      <c r="I19" s="31">
        <f t="shared" si="0"/>
        <v>1761.1632</v>
      </c>
      <c r="J19" s="8" t="s">
        <v>11</v>
      </c>
      <c r="K19" s="32"/>
      <c r="L19" s="32"/>
      <c r="O19" s="33" t="s">
        <v>1229</v>
      </c>
    </row>
    <row r="20" ht="22.5" customHeight="1" spans="1:15">
      <c r="A20" s="20">
        <v>15</v>
      </c>
      <c r="B20" s="20" t="s">
        <v>31</v>
      </c>
      <c r="C20" s="21" t="s">
        <v>32</v>
      </c>
      <c r="D20" s="8">
        <v>16</v>
      </c>
      <c r="E20" s="8">
        <v>1800</v>
      </c>
      <c r="F20" s="8">
        <v>7980</v>
      </c>
      <c r="G20" s="8" t="s">
        <v>33</v>
      </c>
      <c r="H20" s="8">
        <v>1</v>
      </c>
      <c r="I20" s="31">
        <f t="shared" si="0"/>
        <v>1804.1184</v>
      </c>
      <c r="J20" s="8" t="s">
        <v>34</v>
      </c>
      <c r="K20" s="32"/>
      <c r="L20" s="32"/>
      <c r="O20" s="33" t="s">
        <v>1230</v>
      </c>
    </row>
    <row r="21" ht="22.5" customHeight="1" spans="1:17">
      <c r="A21" s="20">
        <v>16</v>
      </c>
      <c r="B21" s="20" t="s">
        <v>31</v>
      </c>
      <c r="C21" s="21" t="s">
        <v>32</v>
      </c>
      <c r="D21" s="8">
        <v>16</v>
      </c>
      <c r="E21" s="8">
        <v>1800</v>
      </c>
      <c r="F21" s="8">
        <v>8020</v>
      </c>
      <c r="G21" s="8" t="s">
        <v>33</v>
      </c>
      <c r="H21" s="8">
        <v>3</v>
      </c>
      <c r="I21" s="31">
        <f t="shared" si="0"/>
        <v>5439.4848</v>
      </c>
      <c r="J21" s="8" t="s">
        <v>12</v>
      </c>
      <c r="K21" s="32"/>
      <c r="L21" s="32"/>
      <c r="O21" s="33" t="s">
        <v>1231</v>
      </c>
      <c r="P21" s="33" t="s">
        <v>1232</v>
      </c>
      <c r="Q21" s="33" t="s">
        <v>1233</v>
      </c>
    </row>
    <row r="22" ht="22.5" customHeight="1" spans="1:16">
      <c r="A22" s="20">
        <v>17</v>
      </c>
      <c r="B22" s="20" t="s">
        <v>31</v>
      </c>
      <c r="C22" s="21" t="s">
        <v>32</v>
      </c>
      <c r="D22" s="8">
        <v>16</v>
      </c>
      <c r="E22" s="8">
        <v>1800</v>
      </c>
      <c r="F22" s="8">
        <v>8030</v>
      </c>
      <c r="G22" s="8" t="s">
        <v>33</v>
      </c>
      <c r="H22" s="8">
        <v>2</v>
      </c>
      <c r="I22" s="31">
        <f t="shared" si="0"/>
        <v>3630.8448</v>
      </c>
      <c r="J22" s="8" t="s">
        <v>12</v>
      </c>
      <c r="K22" s="32"/>
      <c r="L22" s="32"/>
      <c r="O22" s="33" t="s">
        <v>1234</v>
      </c>
      <c r="P22" s="33" t="s">
        <v>1235</v>
      </c>
    </row>
    <row r="23" ht="22.5" customHeight="1" spans="1:16">
      <c r="A23" s="20">
        <v>18</v>
      </c>
      <c r="B23" s="20" t="s">
        <v>31</v>
      </c>
      <c r="C23" s="21" t="s">
        <v>32</v>
      </c>
      <c r="D23" s="8">
        <v>16</v>
      </c>
      <c r="E23" s="8">
        <v>1800</v>
      </c>
      <c r="F23" s="8">
        <v>8040</v>
      </c>
      <c r="G23" s="8" t="s">
        <v>33</v>
      </c>
      <c r="H23" s="8">
        <v>2</v>
      </c>
      <c r="I23" s="31">
        <f t="shared" si="0"/>
        <v>3635.3664</v>
      </c>
      <c r="J23" s="8" t="s">
        <v>12</v>
      </c>
      <c r="K23" s="32"/>
      <c r="L23" s="32"/>
      <c r="O23" s="33" t="s">
        <v>1236</v>
      </c>
      <c r="P23" s="33" t="s">
        <v>1237</v>
      </c>
    </row>
    <row r="24" ht="22.5" customHeight="1" spans="1:15">
      <c r="A24" s="20">
        <v>19</v>
      </c>
      <c r="B24" s="20" t="s">
        <v>31</v>
      </c>
      <c r="C24" s="21" t="s">
        <v>32</v>
      </c>
      <c r="D24" s="8">
        <v>16</v>
      </c>
      <c r="E24" s="8">
        <v>1800</v>
      </c>
      <c r="F24" s="8">
        <v>8090</v>
      </c>
      <c r="G24" s="8" t="s">
        <v>33</v>
      </c>
      <c r="H24" s="8">
        <v>1</v>
      </c>
      <c r="I24" s="31">
        <f t="shared" si="0"/>
        <v>1828.9872</v>
      </c>
      <c r="J24" s="8" t="s">
        <v>12</v>
      </c>
      <c r="K24" s="32"/>
      <c r="L24" s="32"/>
      <c r="O24" s="33" t="s">
        <v>1238</v>
      </c>
    </row>
    <row r="25" ht="22.5" customHeight="1" spans="1:15">
      <c r="A25" s="20">
        <v>20</v>
      </c>
      <c r="B25" s="20" t="s">
        <v>31</v>
      </c>
      <c r="C25" s="21" t="s">
        <v>32</v>
      </c>
      <c r="D25" s="8">
        <v>16</v>
      </c>
      <c r="E25" s="8">
        <v>1800</v>
      </c>
      <c r="F25" s="8">
        <v>8110</v>
      </c>
      <c r="G25" s="8" t="s">
        <v>33</v>
      </c>
      <c r="H25" s="8">
        <v>1</v>
      </c>
      <c r="I25" s="31">
        <f t="shared" si="0"/>
        <v>1833.5088</v>
      </c>
      <c r="J25" s="8" t="s">
        <v>34</v>
      </c>
      <c r="K25" s="32"/>
      <c r="L25" s="32"/>
      <c r="O25" s="33" t="s">
        <v>1239</v>
      </c>
    </row>
    <row r="26" ht="22.5" customHeight="1" spans="1:15">
      <c r="A26" s="20">
        <v>21</v>
      </c>
      <c r="B26" s="20" t="s">
        <v>31</v>
      </c>
      <c r="C26" s="21" t="s">
        <v>32</v>
      </c>
      <c r="D26" s="8">
        <v>16</v>
      </c>
      <c r="E26" s="8">
        <v>1800</v>
      </c>
      <c r="F26" s="8">
        <v>8180</v>
      </c>
      <c r="G26" s="8" t="s">
        <v>33</v>
      </c>
      <c r="H26" s="8">
        <v>1</v>
      </c>
      <c r="I26" s="31">
        <f t="shared" si="0"/>
        <v>1849.3344</v>
      </c>
      <c r="J26" s="8" t="s">
        <v>34</v>
      </c>
      <c r="K26" s="32"/>
      <c r="L26" s="32"/>
      <c r="O26" s="33" t="s">
        <v>1240</v>
      </c>
    </row>
    <row r="27" ht="22.5" customHeight="1" spans="1:15">
      <c r="A27" s="20">
        <v>22</v>
      </c>
      <c r="B27" s="20" t="s">
        <v>31</v>
      </c>
      <c r="C27" s="21" t="s">
        <v>32</v>
      </c>
      <c r="D27" s="8">
        <v>16</v>
      </c>
      <c r="E27" s="8">
        <v>1800</v>
      </c>
      <c r="F27" s="8">
        <v>8210</v>
      </c>
      <c r="G27" s="8" t="s">
        <v>33</v>
      </c>
      <c r="H27" s="8">
        <v>1</v>
      </c>
      <c r="I27" s="31">
        <f t="shared" si="0"/>
        <v>1856.1168</v>
      </c>
      <c r="J27" s="8" t="s">
        <v>34</v>
      </c>
      <c r="K27" s="32"/>
      <c r="L27" s="32"/>
      <c r="O27" s="33" t="s">
        <v>1241</v>
      </c>
    </row>
    <row r="28" ht="22.5" customHeight="1" spans="1:15">
      <c r="A28" s="20">
        <v>23</v>
      </c>
      <c r="B28" s="20" t="s">
        <v>31</v>
      </c>
      <c r="C28" s="21" t="s">
        <v>32</v>
      </c>
      <c r="D28" s="8">
        <v>16</v>
      </c>
      <c r="E28" s="8">
        <v>1800</v>
      </c>
      <c r="F28" s="8">
        <v>8420</v>
      </c>
      <c r="G28" s="8" t="s">
        <v>33</v>
      </c>
      <c r="H28" s="8">
        <v>1</v>
      </c>
      <c r="I28" s="31">
        <f t="shared" si="0"/>
        <v>1903.5936</v>
      </c>
      <c r="J28" s="8" t="s">
        <v>12</v>
      </c>
      <c r="K28" s="32"/>
      <c r="L28" s="32"/>
      <c r="O28" s="33" t="s">
        <v>1242</v>
      </c>
    </row>
    <row r="29" ht="22.5" customHeight="1" spans="1:15">
      <c r="A29" s="20">
        <v>24</v>
      </c>
      <c r="B29" s="20" t="s">
        <v>31</v>
      </c>
      <c r="C29" s="21" t="s">
        <v>32</v>
      </c>
      <c r="D29" s="8">
        <v>16</v>
      </c>
      <c r="E29" s="8">
        <v>1800</v>
      </c>
      <c r="F29" s="8">
        <v>8550</v>
      </c>
      <c r="G29" s="8" t="s">
        <v>33</v>
      </c>
      <c r="H29" s="8">
        <v>1</v>
      </c>
      <c r="I29" s="31">
        <f t="shared" si="0"/>
        <v>1932.984</v>
      </c>
      <c r="J29" s="8" t="s">
        <v>12</v>
      </c>
      <c r="K29" s="32"/>
      <c r="L29" s="32"/>
      <c r="O29" s="33" t="s">
        <v>1243</v>
      </c>
    </row>
    <row r="30" ht="22.5" customHeight="1" spans="1:15">
      <c r="A30" s="20">
        <v>25</v>
      </c>
      <c r="B30" s="20" t="s">
        <v>31</v>
      </c>
      <c r="C30" s="21" t="s">
        <v>32</v>
      </c>
      <c r="D30" s="8">
        <v>16</v>
      </c>
      <c r="E30" s="8">
        <v>1800</v>
      </c>
      <c r="F30" s="8">
        <v>9130</v>
      </c>
      <c r="G30" s="8" t="s">
        <v>33</v>
      </c>
      <c r="H30" s="8">
        <v>1</v>
      </c>
      <c r="I30" s="31">
        <f t="shared" si="0"/>
        <v>2064.1104</v>
      </c>
      <c r="J30" s="8" t="s">
        <v>11</v>
      </c>
      <c r="K30" s="32"/>
      <c r="L30" s="32"/>
      <c r="O30" s="33" t="s">
        <v>1244</v>
      </c>
    </row>
    <row r="31" ht="22.5" customHeight="1" spans="1:15">
      <c r="A31" s="20">
        <v>26</v>
      </c>
      <c r="B31" s="20" t="s">
        <v>31</v>
      </c>
      <c r="C31" s="21" t="s">
        <v>32</v>
      </c>
      <c r="D31" s="8">
        <v>16</v>
      </c>
      <c r="E31" s="8">
        <v>1800</v>
      </c>
      <c r="F31" s="8">
        <v>9220</v>
      </c>
      <c r="G31" s="8" t="s">
        <v>33</v>
      </c>
      <c r="H31" s="8">
        <v>1</v>
      </c>
      <c r="I31" s="31">
        <f t="shared" si="0"/>
        <v>2084.4576</v>
      </c>
      <c r="J31" s="8" t="s">
        <v>34</v>
      </c>
      <c r="K31" s="32"/>
      <c r="L31" s="32"/>
      <c r="O31" s="33" t="s">
        <v>1245</v>
      </c>
    </row>
    <row r="32" ht="22.5" customHeight="1" spans="1:15">
      <c r="A32" s="20">
        <v>27</v>
      </c>
      <c r="B32" s="20" t="s">
        <v>31</v>
      </c>
      <c r="C32" s="21" t="s">
        <v>32</v>
      </c>
      <c r="D32" s="8">
        <v>16</v>
      </c>
      <c r="E32" s="8">
        <v>1800</v>
      </c>
      <c r="F32" s="8">
        <v>9590</v>
      </c>
      <c r="G32" s="8" t="s">
        <v>33</v>
      </c>
      <c r="H32" s="8">
        <v>1</v>
      </c>
      <c r="I32" s="31">
        <f t="shared" si="0"/>
        <v>2168.1072</v>
      </c>
      <c r="J32" s="8" t="s">
        <v>34</v>
      </c>
      <c r="K32" s="32"/>
      <c r="L32" s="32"/>
      <c r="O32" s="33" t="s">
        <v>1246</v>
      </c>
    </row>
    <row r="33" ht="22.5" customHeight="1" spans="1:15">
      <c r="A33" s="20">
        <v>28</v>
      </c>
      <c r="B33" s="20" t="s">
        <v>31</v>
      </c>
      <c r="C33" s="21" t="s">
        <v>32</v>
      </c>
      <c r="D33" s="8">
        <v>16</v>
      </c>
      <c r="E33" s="8">
        <v>1800</v>
      </c>
      <c r="F33" s="8">
        <v>11520</v>
      </c>
      <c r="G33" s="8" t="s">
        <v>33</v>
      </c>
      <c r="H33" s="8">
        <v>1</v>
      </c>
      <c r="I33" s="31">
        <f t="shared" si="0"/>
        <v>2604.4416</v>
      </c>
      <c r="J33" s="8" t="s">
        <v>12</v>
      </c>
      <c r="K33" s="32"/>
      <c r="L33" s="32"/>
      <c r="O33" s="33" t="s">
        <v>1247</v>
      </c>
    </row>
    <row r="34" ht="22.5" customHeight="1" spans="1:15">
      <c r="A34" s="20">
        <v>29</v>
      </c>
      <c r="B34" s="20" t="s">
        <v>31</v>
      </c>
      <c r="C34" s="21" t="s">
        <v>32</v>
      </c>
      <c r="D34" s="8">
        <v>16</v>
      </c>
      <c r="E34" s="8">
        <v>1800</v>
      </c>
      <c r="F34" s="8">
        <v>11910</v>
      </c>
      <c r="G34" s="8" t="s">
        <v>33</v>
      </c>
      <c r="H34" s="8">
        <v>1</v>
      </c>
      <c r="I34" s="31">
        <f t="shared" si="0"/>
        <v>2692.6128</v>
      </c>
      <c r="J34" s="8" t="s">
        <v>12</v>
      </c>
      <c r="K34" s="32"/>
      <c r="L34" s="32"/>
      <c r="O34" s="33" t="s">
        <v>1248</v>
      </c>
    </row>
    <row r="35" ht="22.5" customHeight="1" spans="1:15">
      <c r="A35" s="20">
        <v>30</v>
      </c>
      <c r="B35" s="20" t="s">
        <v>31</v>
      </c>
      <c r="C35" s="21" t="s">
        <v>32</v>
      </c>
      <c r="D35" s="8">
        <v>16</v>
      </c>
      <c r="E35" s="8">
        <v>2000</v>
      </c>
      <c r="F35" s="8">
        <v>7390</v>
      </c>
      <c r="G35" s="8" t="s">
        <v>33</v>
      </c>
      <c r="H35" s="8">
        <v>1</v>
      </c>
      <c r="I35" s="31">
        <f t="shared" si="0"/>
        <v>1856.368</v>
      </c>
      <c r="J35" s="8" t="s">
        <v>11</v>
      </c>
      <c r="K35" s="32"/>
      <c r="L35" s="32"/>
      <c r="O35" s="33" t="s">
        <v>1249</v>
      </c>
    </row>
    <row r="36" ht="22.5" customHeight="1" spans="1:15">
      <c r="A36" s="20">
        <v>31</v>
      </c>
      <c r="B36" s="20" t="s">
        <v>31</v>
      </c>
      <c r="C36" s="21" t="s">
        <v>32</v>
      </c>
      <c r="D36" s="8">
        <v>16</v>
      </c>
      <c r="E36" s="8">
        <v>2000</v>
      </c>
      <c r="F36" s="8">
        <v>7700</v>
      </c>
      <c r="G36" s="8" t="s">
        <v>33</v>
      </c>
      <c r="H36" s="8">
        <v>1</v>
      </c>
      <c r="I36" s="31">
        <f t="shared" si="0"/>
        <v>1934.24</v>
      </c>
      <c r="J36" s="8" t="s">
        <v>11</v>
      </c>
      <c r="K36" s="32"/>
      <c r="L36" s="32"/>
      <c r="O36" s="33" t="s">
        <v>1250</v>
      </c>
    </row>
    <row r="37" ht="22.5" customHeight="1" spans="1:15">
      <c r="A37" s="20">
        <v>32</v>
      </c>
      <c r="B37" s="20" t="s">
        <v>31</v>
      </c>
      <c r="C37" s="21" t="s">
        <v>32</v>
      </c>
      <c r="D37" s="8">
        <v>16</v>
      </c>
      <c r="E37" s="8">
        <v>2000</v>
      </c>
      <c r="F37" s="8">
        <v>7750</v>
      </c>
      <c r="G37" s="8" t="s">
        <v>33</v>
      </c>
      <c r="H37" s="8">
        <v>1</v>
      </c>
      <c r="I37" s="31">
        <f t="shared" si="0"/>
        <v>1946.8</v>
      </c>
      <c r="J37" s="8" t="s">
        <v>11</v>
      </c>
      <c r="K37" s="32"/>
      <c r="L37" s="32"/>
      <c r="O37" s="33" t="s">
        <v>1251</v>
      </c>
    </row>
    <row r="38" ht="22.5" customHeight="1" spans="1:16">
      <c r="A38" s="20">
        <v>33</v>
      </c>
      <c r="B38" s="20" t="s">
        <v>31</v>
      </c>
      <c r="C38" s="21" t="s">
        <v>32</v>
      </c>
      <c r="D38" s="8">
        <v>16</v>
      </c>
      <c r="E38" s="8">
        <v>2000</v>
      </c>
      <c r="F38" s="8">
        <v>8020</v>
      </c>
      <c r="G38" s="8" t="s">
        <v>33</v>
      </c>
      <c r="H38" s="8">
        <v>2</v>
      </c>
      <c r="I38" s="31">
        <f t="shared" si="0"/>
        <v>4029.248</v>
      </c>
      <c r="J38" s="8" t="s">
        <v>34</v>
      </c>
      <c r="K38" s="32"/>
      <c r="L38" s="32"/>
      <c r="O38" s="33" t="s">
        <v>1252</v>
      </c>
      <c r="P38" s="33" t="s">
        <v>1253</v>
      </c>
    </row>
    <row r="39" ht="22.5" customHeight="1" spans="1:15">
      <c r="A39" s="20">
        <v>34</v>
      </c>
      <c r="B39" s="20" t="s">
        <v>31</v>
      </c>
      <c r="C39" s="21" t="s">
        <v>32</v>
      </c>
      <c r="D39" s="8">
        <v>16</v>
      </c>
      <c r="E39" s="8">
        <v>2000</v>
      </c>
      <c r="F39" s="8">
        <v>8030</v>
      </c>
      <c r="G39" s="8" t="s">
        <v>33</v>
      </c>
      <c r="H39" s="8">
        <v>1</v>
      </c>
      <c r="I39" s="31">
        <f t="shared" si="0"/>
        <v>2017.136</v>
      </c>
      <c r="J39" s="8" t="s">
        <v>34</v>
      </c>
      <c r="K39" s="32"/>
      <c r="L39" s="32"/>
      <c r="O39" s="33" t="s">
        <v>1254</v>
      </c>
    </row>
    <row r="40" ht="22.5" customHeight="1" spans="1:16">
      <c r="A40" s="20">
        <v>35</v>
      </c>
      <c r="B40" s="20" t="s">
        <v>31</v>
      </c>
      <c r="C40" s="21" t="s">
        <v>32</v>
      </c>
      <c r="D40" s="8">
        <v>16</v>
      </c>
      <c r="E40" s="8">
        <v>2000</v>
      </c>
      <c r="F40" s="8">
        <v>8040</v>
      </c>
      <c r="G40" s="8" t="s">
        <v>33</v>
      </c>
      <c r="H40" s="8">
        <v>2</v>
      </c>
      <c r="I40" s="31">
        <f t="shared" si="0"/>
        <v>4039.296</v>
      </c>
      <c r="J40" s="8" t="s">
        <v>34</v>
      </c>
      <c r="K40" s="32"/>
      <c r="L40" s="32"/>
      <c r="O40" s="33" t="s">
        <v>1255</v>
      </c>
      <c r="P40" s="33" t="s">
        <v>1256</v>
      </c>
    </row>
    <row r="41" ht="22.5" customHeight="1" spans="1:15">
      <c r="A41" s="20">
        <v>36</v>
      </c>
      <c r="B41" s="20" t="s">
        <v>31</v>
      </c>
      <c r="C41" s="21" t="s">
        <v>32</v>
      </c>
      <c r="D41" s="8">
        <v>16</v>
      </c>
      <c r="E41" s="8">
        <v>2000</v>
      </c>
      <c r="F41" s="8">
        <v>8910</v>
      </c>
      <c r="G41" s="8" t="s">
        <v>33</v>
      </c>
      <c r="H41" s="8">
        <v>1</v>
      </c>
      <c r="I41" s="31">
        <f t="shared" si="0"/>
        <v>2238.192</v>
      </c>
      <c r="J41" s="8" t="s">
        <v>11</v>
      </c>
      <c r="K41" s="32"/>
      <c r="L41" s="32"/>
      <c r="O41" s="33" t="s">
        <v>1257</v>
      </c>
    </row>
    <row r="42" ht="22.5" customHeight="1" spans="1:15">
      <c r="A42" s="20">
        <v>37</v>
      </c>
      <c r="B42" s="20" t="s">
        <v>31</v>
      </c>
      <c r="C42" s="21" t="s">
        <v>32</v>
      </c>
      <c r="D42" s="8">
        <v>16</v>
      </c>
      <c r="E42" s="8">
        <v>2000</v>
      </c>
      <c r="F42" s="8">
        <v>9560</v>
      </c>
      <c r="G42" s="8" t="s">
        <v>33</v>
      </c>
      <c r="H42" s="8">
        <v>1</v>
      </c>
      <c r="I42" s="31">
        <f t="shared" si="0"/>
        <v>2401.472</v>
      </c>
      <c r="J42" s="8" t="s">
        <v>11</v>
      </c>
      <c r="K42" s="32"/>
      <c r="L42" s="32"/>
      <c r="O42" s="33" t="s">
        <v>1258</v>
      </c>
    </row>
    <row r="43" ht="22.5" customHeight="1" spans="1:14">
      <c r="A43" s="5" t="s">
        <v>40</v>
      </c>
      <c r="B43" s="5"/>
      <c r="C43" s="5"/>
      <c r="D43" s="5"/>
      <c r="E43" s="5"/>
      <c r="F43" s="5"/>
      <c r="G43" s="5"/>
      <c r="H43" s="5"/>
      <c r="I43" s="34">
        <f>SUM(I6:I42)</f>
        <v>132199.024</v>
      </c>
      <c r="J43" s="13"/>
      <c r="K43" s="32">
        <v>129975.85376</v>
      </c>
      <c r="L43" s="32">
        <f>[6]D桥估料表!$G$222</f>
        <v>173382.6013344</v>
      </c>
      <c r="M43">
        <v>173382.6013344</v>
      </c>
      <c r="N43">
        <f>[24]Sheet2!$O$39</f>
        <v>132199.024</v>
      </c>
    </row>
    <row r="44" ht="16.5" spans="1:10">
      <c r="A44" s="22" t="s">
        <v>41</v>
      </c>
      <c r="B44" s="22"/>
      <c r="C44" s="22"/>
      <c r="D44" s="22"/>
      <c r="E44" s="22"/>
      <c r="F44" s="22"/>
      <c r="G44" s="22"/>
      <c r="H44" s="22"/>
      <c r="I44" s="22"/>
      <c r="J44" s="22"/>
    </row>
    <row r="45" ht="16.5" spans="1:10">
      <c r="A45" s="22" t="s">
        <v>401</v>
      </c>
      <c r="B45" s="22"/>
      <c r="C45" s="22"/>
      <c r="D45" s="22"/>
      <c r="E45" s="22"/>
      <c r="F45" s="22"/>
      <c r="G45" s="22"/>
      <c r="H45" s="22"/>
      <c r="I45" s="22"/>
      <c r="J45" s="22"/>
    </row>
    <row r="46" ht="16.5" spans="1:10">
      <c r="A46" s="16" t="s">
        <v>74</v>
      </c>
      <c r="B46" s="17"/>
      <c r="C46" s="17"/>
      <c r="D46" s="17"/>
      <c r="E46" s="17"/>
      <c r="F46" s="17"/>
      <c r="G46" s="17"/>
      <c r="H46" s="17"/>
      <c r="I46" s="17"/>
      <c r="J46" s="17"/>
    </row>
  </sheetData>
  <autoFilter ref="A5:J46">
    <extLst/>
  </autoFilter>
  <mergeCells count="7">
    <mergeCell ref="A1:J1"/>
    <mergeCell ref="A2:J2"/>
    <mergeCell ref="A3:F3"/>
    <mergeCell ref="A43:H43"/>
    <mergeCell ref="A44:J44"/>
    <mergeCell ref="A45:J45"/>
    <mergeCell ref="A46:J46"/>
  </mergeCells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2"/>
  <dimension ref="A1:Q24"/>
  <sheetViews>
    <sheetView workbookViewId="0">
      <selection activeCell="T9" sqref="T9"/>
    </sheetView>
  </sheetViews>
  <sheetFormatPr defaultColWidth="9" defaultRowHeight="13.5"/>
  <cols>
    <col min="1" max="2" width="8.675" customWidth="1"/>
    <col min="3" max="3" width="10.3416666666667" customWidth="1"/>
    <col min="4" max="4" width="8.75" customWidth="1"/>
    <col min="5" max="5" width="9.375" customWidth="1"/>
    <col min="6" max="6" width="9.875" customWidth="1"/>
    <col min="7" max="7" width="6.875" customWidth="1"/>
    <col min="8" max="8" width="5.875" customWidth="1"/>
    <col min="9" max="9" width="9.75" style="14" customWidth="1"/>
    <col min="10" max="10" width="8.675" customWidth="1"/>
    <col min="11" max="12" width="15.3416666666667" hidden="1" customWidth="1"/>
    <col min="13" max="13" width="9" hidden="1" customWidth="1"/>
    <col min="14" max="15" width="11.5" hidden="1" customWidth="1"/>
    <col min="16" max="18" width="9" hidden="1" customWidth="1"/>
  </cols>
  <sheetData>
    <row r="1" ht="28.5" customHeight="1" spans="1:12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  <c r="K1" s="24"/>
      <c r="L1" s="24"/>
    </row>
    <row r="2" ht="28.5" customHeight="1" spans="1:12">
      <c r="A2" s="15" t="s">
        <v>20</v>
      </c>
      <c r="B2" s="15"/>
      <c r="C2" s="15"/>
      <c r="D2" s="15"/>
      <c r="E2" s="15"/>
      <c r="F2" s="15"/>
      <c r="G2" s="15"/>
      <c r="H2" s="15"/>
      <c r="I2" s="23"/>
      <c r="J2" s="15"/>
      <c r="K2" s="24"/>
      <c r="L2" s="24"/>
    </row>
    <row r="3" ht="22.5" customHeight="1" spans="1:12">
      <c r="A3" s="16" t="s">
        <v>21</v>
      </c>
      <c r="B3" s="17"/>
      <c r="C3" s="17"/>
      <c r="D3" s="17"/>
      <c r="E3" s="17"/>
      <c r="F3" s="17"/>
      <c r="G3" s="17"/>
      <c r="H3" s="17"/>
      <c r="I3" s="25"/>
      <c r="J3" s="26"/>
      <c r="K3" s="27"/>
      <c r="L3" s="27"/>
    </row>
    <row r="4" ht="22.5" customHeight="1" spans="1:12">
      <c r="A4" s="18" t="s">
        <v>1259</v>
      </c>
      <c r="B4" s="19"/>
      <c r="C4" s="19"/>
      <c r="D4" s="17"/>
      <c r="E4" s="19"/>
      <c r="F4" s="19"/>
      <c r="G4" s="17"/>
      <c r="H4" s="17"/>
      <c r="I4" s="28"/>
      <c r="J4" s="26"/>
      <c r="K4" s="27"/>
      <c r="L4" s="27"/>
    </row>
    <row r="5" ht="22.5" customHeight="1" spans="1:12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29" t="s">
        <v>29</v>
      </c>
      <c r="J5" s="11" t="s">
        <v>30</v>
      </c>
      <c r="K5" s="30"/>
      <c r="L5" s="30"/>
    </row>
    <row r="6" ht="22.5" customHeight="1" spans="1:12">
      <c r="A6" s="20">
        <v>1</v>
      </c>
      <c r="B6" s="20" t="s">
        <v>31</v>
      </c>
      <c r="C6" s="21" t="s">
        <v>32</v>
      </c>
      <c r="D6" s="20">
        <v>12</v>
      </c>
      <c r="E6" s="20">
        <v>2000</v>
      </c>
      <c r="F6" s="20">
        <v>11600</v>
      </c>
      <c r="G6" s="20" t="s">
        <v>33</v>
      </c>
      <c r="H6" s="8">
        <v>1</v>
      </c>
      <c r="I6" s="31">
        <f>D6*E6*F6*H6*7.85/1000/1000</f>
        <v>2185.44</v>
      </c>
      <c r="J6" s="8" t="s">
        <v>1260</v>
      </c>
      <c r="K6" s="30"/>
      <c r="L6" s="30"/>
    </row>
    <row r="7" ht="22.5" customHeight="1" spans="1:16">
      <c r="A7" s="20">
        <v>2</v>
      </c>
      <c r="B7" s="20" t="s">
        <v>31</v>
      </c>
      <c r="C7" s="21" t="s">
        <v>32</v>
      </c>
      <c r="D7" s="8">
        <v>16</v>
      </c>
      <c r="E7" s="8">
        <v>1500</v>
      </c>
      <c r="F7" s="8">
        <v>6680</v>
      </c>
      <c r="G7" s="20" t="s">
        <v>33</v>
      </c>
      <c r="H7" s="8">
        <v>1</v>
      </c>
      <c r="I7" s="31">
        <v>1258.512</v>
      </c>
      <c r="J7" s="20" t="s">
        <v>11</v>
      </c>
      <c r="K7" s="32"/>
      <c r="L7" s="32"/>
      <c r="P7" s="33" t="s">
        <v>1261</v>
      </c>
    </row>
    <row r="8" ht="22.5" customHeight="1" spans="1:16">
      <c r="A8" s="20">
        <v>3</v>
      </c>
      <c r="B8" s="20" t="s">
        <v>31</v>
      </c>
      <c r="C8" s="21" t="s">
        <v>32</v>
      </c>
      <c r="D8" s="8">
        <v>16</v>
      </c>
      <c r="E8" s="8">
        <v>1500</v>
      </c>
      <c r="F8" s="8">
        <v>9110</v>
      </c>
      <c r="G8" s="20" t="s">
        <v>33</v>
      </c>
      <c r="H8" s="8">
        <v>1</v>
      </c>
      <c r="I8" s="31">
        <v>1716.324</v>
      </c>
      <c r="J8" s="20" t="s">
        <v>11</v>
      </c>
      <c r="K8" s="32"/>
      <c r="L8" s="32"/>
      <c r="P8" s="33" t="s">
        <v>1262</v>
      </c>
    </row>
    <row r="9" ht="22.5" customHeight="1" spans="1:16">
      <c r="A9" s="20">
        <v>4</v>
      </c>
      <c r="B9" s="20" t="s">
        <v>31</v>
      </c>
      <c r="C9" s="21" t="s">
        <v>32</v>
      </c>
      <c r="D9" s="8">
        <v>16</v>
      </c>
      <c r="E9" s="8">
        <v>1500</v>
      </c>
      <c r="F9" s="8">
        <v>9410</v>
      </c>
      <c r="G9" s="20" t="s">
        <v>33</v>
      </c>
      <c r="H9" s="8">
        <v>1</v>
      </c>
      <c r="I9" s="31">
        <v>1772.844</v>
      </c>
      <c r="J9" s="20" t="s">
        <v>34</v>
      </c>
      <c r="K9" s="32"/>
      <c r="L9" s="32"/>
      <c r="P9" s="33" t="s">
        <v>1263</v>
      </c>
    </row>
    <row r="10" ht="22.5" customHeight="1" spans="1:16">
      <c r="A10" s="20">
        <v>5</v>
      </c>
      <c r="B10" s="20" t="s">
        <v>31</v>
      </c>
      <c r="C10" s="21" t="s">
        <v>32</v>
      </c>
      <c r="D10" s="8">
        <v>16</v>
      </c>
      <c r="E10" s="8">
        <v>1800</v>
      </c>
      <c r="F10" s="8">
        <v>6550</v>
      </c>
      <c r="G10" s="20" t="s">
        <v>33</v>
      </c>
      <c r="H10" s="8">
        <v>1</v>
      </c>
      <c r="I10" s="31">
        <v>1480.824</v>
      </c>
      <c r="J10" s="20" t="s">
        <v>12</v>
      </c>
      <c r="K10" s="32"/>
      <c r="L10" s="32"/>
      <c r="P10" s="33" t="s">
        <v>1264</v>
      </c>
    </row>
    <row r="11" ht="22.5" customHeight="1" spans="1:16">
      <c r="A11" s="20">
        <v>6</v>
      </c>
      <c r="B11" s="20" t="s">
        <v>31</v>
      </c>
      <c r="C11" s="21" t="s">
        <v>32</v>
      </c>
      <c r="D11" s="8">
        <v>16</v>
      </c>
      <c r="E11" s="8">
        <v>1800</v>
      </c>
      <c r="F11" s="8">
        <v>8090</v>
      </c>
      <c r="G11" s="20" t="s">
        <v>33</v>
      </c>
      <c r="H11" s="8">
        <v>1</v>
      </c>
      <c r="I11" s="31">
        <v>1828.9872</v>
      </c>
      <c r="J11" s="20" t="s">
        <v>34</v>
      </c>
      <c r="K11" s="32"/>
      <c r="L11" s="32"/>
      <c r="P11" s="33" t="s">
        <v>1265</v>
      </c>
    </row>
    <row r="12" ht="22.5" customHeight="1" spans="1:16">
      <c r="A12" s="20">
        <v>7</v>
      </c>
      <c r="B12" s="20" t="s">
        <v>31</v>
      </c>
      <c r="C12" s="21" t="s">
        <v>32</v>
      </c>
      <c r="D12" s="8">
        <v>16</v>
      </c>
      <c r="E12" s="8">
        <v>1800</v>
      </c>
      <c r="F12" s="8">
        <v>8140</v>
      </c>
      <c r="G12" s="20" t="s">
        <v>33</v>
      </c>
      <c r="H12" s="8">
        <v>1</v>
      </c>
      <c r="I12" s="31">
        <v>1840.2912</v>
      </c>
      <c r="J12" s="20" t="s">
        <v>34</v>
      </c>
      <c r="K12" s="32"/>
      <c r="L12" s="32"/>
      <c r="P12" s="33" t="s">
        <v>1266</v>
      </c>
    </row>
    <row r="13" ht="22.5" customHeight="1" spans="1:16">
      <c r="A13" s="20">
        <v>8</v>
      </c>
      <c r="B13" s="20" t="s">
        <v>31</v>
      </c>
      <c r="C13" s="21" t="s">
        <v>32</v>
      </c>
      <c r="D13" s="8">
        <v>16</v>
      </c>
      <c r="E13" s="8">
        <v>1800</v>
      </c>
      <c r="F13" s="8">
        <v>9110</v>
      </c>
      <c r="G13" s="20" t="s">
        <v>33</v>
      </c>
      <c r="H13" s="8">
        <v>1</v>
      </c>
      <c r="I13" s="31">
        <v>2059.5888</v>
      </c>
      <c r="J13" s="20" t="s">
        <v>11</v>
      </c>
      <c r="K13" s="32"/>
      <c r="L13" s="32"/>
      <c r="P13" s="33" t="s">
        <v>1267</v>
      </c>
    </row>
    <row r="14" ht="22.5" customHeight="1" spans="1:17">
      <c r="A14" s="20">
        <v>9</v>
      </c>
      <c r="B14" s="20" t="s">
        <v>31</v>
      </c>
      <c r="C14" s="21" t="s">
        <v>32</v>
      </c>
      <c r="D14" s="8">
        <v>16</v>
      </c>
      <c r="E14" s="8">
        <v>1800</v>
      </c>
      <c r="F14" s="8">
        <v>9210</v>
      </c>
      <c r="G14" s="20" t="s">
        <v>33</v>
      </c>
      <c r="H14" s="8">
        <v>2</v>
      </c>
      <c r="I14" s="31">
        <v>4164.3936</v>
      </c>
      <c r="J14" s="20" t="s">
        <v>12</v>
      </c>
      <c r="K14" s="32"/>
      <c r="L14" s="32"/>
      <c r="P14" s="33" t="s">
        <v>1268</v>
      </c>
      <c r="Q14" s="33" t="s">
        <v>1269</v>
      </c>
    </row>
    <row r="15" ht="22.5" customHeight="1" spans="1:16">
      <c r="A15" s="20">
        <v>10</v>
      </c>
      <c r="B15" s="20" t="s">
        <v>31</v>
      </c>
      <c r="C15" s="21" t="s">
        <v>32</v>
      </c>
      <c r="D15" s="8">
        <v>16</v>
      </c>
      <c r="E15" s="8">
        <v>1800</v>
      </c>
      <c r="F15" s="8">
        <v>9410</v>
      </c>
      <c r="G15" s="20" t="s">
        <v>33</v>
      </c>
      <c r="H15" s="8">
        <v>1</v>
      </c>
      <c r="I15" s="31">
        <v>2127.4128</v>
      </c>
      <c r="J15" s="20" t="s">
        <v>34</v>
      </c>
      <c r="K15" s="32"/>
      <c r="L15" s="32"/>
      <c r="P15" s="33" t="s">
        <v>1270</v>
      </c>
    </row>
    <row r="16" ht="22.5" customHeight="1" spans="1:16">
      <c r="A16" s="20">
        <v>11</v>
      </c>
      <c r="B16" s="20" t="s">
        <v>31</v>
      </c>
      <c r="C16" s="21" t="s">
        <v>32</v>
      </c>
      <c r="D16" s="8">
        <v>16</v>
      </c>
      <c r="E16" s="8">
        <v>1800</v>
      </c>
      <c r="F16" s="8">
        <v>9420</v>
      </c>
      <c r="G16" s="20" t="s">
        <v>33</v>
      </c>
      <c r="H16" s="8">
        <v>1</v>
      </c>
      <c r="I16" s="31">
        <v>2129.6736</v>
      </c>
      <c r="J16" s="20" t="s">
        <v>12</v>
      </c>
      <c r="K16" s="32"/>
      <c r="L16" s="32"/>
      <c r="P16" s="33" t="s">
        <v>1271</v>
      </c>
    </row>
    <row r="17" ht="22.5" customHeight="1" spans="1:16">
      <c r="A17" s="20">
        <v>12</v>
      </c>
      <c r="B17" s="20" t="s">
        <v>31</v>
      </c>
      <c r="C17" s="21" t="s">
        <v>32</v>
      </c>
      <c r="D17" s="8">
        <v>16</v>
      </c>
      <c r="E17" s="8">
        <v>2000</v>
      </c>
      <c r="F17" s="8">
        <v>7610</v>
      </c>
      <c r="G17" s="20" t="s">
        <v>33</v>
      </c>
      <c r="H17" s="8">
        <v>1</v>
      </c>
      <c r="I17" s="31">
        <v>1911.632</v>
      </c>
      <c r="J17" s="20" t="s">
        <v>11</v>
      </c>
      <c r="K17" s="32"/>
      <c r="L17" s="32"/>
      <c r="P17" s="33" t="s">
        <v>1272</v>
      </c>
    </row>
    <row r="18" ht="22.5" customHeight="1" spans="1:16">
      <c r="A18" s="20">
        <v>13</v>
      </c>
      <c r="B18" s="20" t="s">
        <v>31</v>
      </c>
      <c r="C18" s="21" t="s">
        <v>32</v>
      </c>
      <c r="D18" s="8">
        <v>16</v>
      </c>
      <c r="E18" s="8">
        <v>2000</v>
      </c>
      <c r="F18" s="8">
        <v>7770</v>
      </c>
      <c r="G18" s="20" t="s">
        <v>33</v>
      </c>
      <c r="H18" s="8">
        <v>1</v>
      </c>
      <c r="I18" s="31">
        <v>1951.824</v>
      </c>
      <c r="J18" s="20" t="s">
        <v>11</v>
      </c>
      <c r="K18" s="32"/>
      <c r="L18" s="32"/>
      <c r="P18" s="33" t="s">
        <v>1273</v>
      </c>
    </row>
    <row r="19" ht="22.5" customHeight="1" spans="1:16">
      <c r="A19" s="20">
        <v>14</v>
      </c>
      <c r="B19" s="20" t="s">
        <v>31</v>
      </c>
      <c r="C19" s="21" t="s">
        <v>32</v>
      </c>
      <c r="D19" s="8">
        <v>16</v>
      </c>
      <c r="E19" s="8">
        <v>2000</v>
      </c>
      <c r="F19" s="8">
        <v>11450</v>
      </c>
      <c r="G19" s="20" t="s">
        <v>33</v>
      </c>
      <c r="H19" s="8">
        <v>1</v>
      </c>
      <c r="I19" s="31">
        <v>2876.24</v>
      </c>
      <c r="J19" s="20" t="s">
        <v>11</v>
      </c>
      <c r="K19" s="32"/>
      <c r="L19" s="32"/>
      <c r="P19" s="33" t="s">
        <v>1274</v>
      </c>
    </row>
    <row r="20" ht="22.5" customHeight="1" spans="1:16">
      <c r="A20" s="20">
        <v>15</v>
      </c>
      <c r="B20" s="20" t="s">
        <v>31</v>
      </c>
      <c r="C20" s="21" t="s">
        <v>32</v>
      </c>
      <c r="D20" s="8">
        <v>16</v>
      </c>
      <c r="E20" s="8">
        <v>2000</v>
      </c>
      <c r="F20" s="8">
        <v>12910</v>
      </c>
      <c r="G20" s="20" t="s">
        <v>33</v>
      </c>
      <c r="H20" s="8">
        <v>1</v>
      </c>
      <c r="I20" s="31">
        <v>3242.992</v>
      </c>
      <c r="J20" s="20" t="s">
        <v>11</v>
      </c>
      <c r="K20" s="32"/>
      <c r="L20" s="32"/>
      <c r="N20">
        <f>SUM(I7:I20)</f>
        <v>30361.5392</v>
      </c>
      <c r="O20">
        <f>[25]Sheet3!$M$17</f>
        <v>30361.5392</v>
      </c>
      <c r="P20" s="33" t="s">
        <v>1275</v>
      </c>
    </row>
    <row r="21" ht="16.5" spans="1:12">
      <c r="A21" s="5" t="s">
        <v>40</v>
      </c>
      <c r="B21" s="5"/>
      <c r="C21" s="5"/>
      <c r="D21" s="5"/>
      <c r="E21" s="5"/>
      <c r="F21" s="5"/>
      <c r="G21" s="5"/>
      <c r="H21" s="5"/>
      <c r="I21" s="34">
        <f>SUM(I6:I20)</f>
        <v>32546.9792</v>
      </c>
      <c r="J21" s="13"/>
      <c r="K21">
        <v>29842.29624</v>
      </c>
      <c r="L21">
        <f>[6]D桥估料表!$G$246</f>
        <v>51011.2636576</v>
      </c>
    </row>
    <row r="22" ht="16.5" spans="1:12">
      <c r="A22" s="22" t="s">
        <v>41</v>
      </c>
      <c r="B22" s="22"/>
      <c r="C22" s="22"/>
      <c r="D22" s="22"/>
      <c r="E22" s="22"/>
      <c r="F22" s="22"/>
      <c r="G22" s="22"/>
      <c r="H22" s="22"/>
      <c r="I22" s="22"/>
      <c r="J22" s="22"/>
      <c r="L22">
        <v>51011.2636576</v>
      </c>
    </row>
    <row r="23" ht="16.5" spans="1:10">
      <c r="A23" s="22" t="s">
        <v>401</v>
      </c>
      <c r="B23" s="22"/>
      <c r="C23" s="22"/>
      <c r="D23" s="22"/>
      <c r="E23" s="22"/>
      <c r="F23" s="22"/>
      <c r="G23" s="22"/>
      <c r="H23" s="22"/>
      <c r="I23" s="22"/>
      <c r="J23" s="22"/>
    </row>
    <row r="24" ht="16.5" spans="1:10">
      <c r="A24" s="16" t="s">
        <v>1072</v>
      </c>
      <c r="B24" s="17"/>
      <c r="C24" s="17"/>
      <c r="D24" s="17"/>
      <c r="E24" s="17"/>
      <c r="F24" s="17"/>
      <c r="G24" s="17"/>
      <c r="H24" s="17"/>
      <c r="I24" s="17"/>
      <c r="J24" s="17"/>
    </row>
  </sheetData>
  <mergeCells count="7">
    <mergeCell ref="A1:J1"/>
    <mergeCell ref="A2:J2"/>
    <mergeCell ref="A3:F3"/>
    <mergeCell ref="A21:H21"/>
    <mergeCell ref="A22:J22"/>
    <mergeCell ref="A23:J23"/>
    <mergeCell ref="A24:J24"/>
  </mergeCells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workbookViewId="0">
      <selection activeCell="F20" sqref="F20"/>
    </sheetView>
  </sheetViews>
  <sheetFormatPr defaultColWidth="9" defaultRowHeight="13.5" outlineLevelCol="6"/>
  <cols>
    <col min="5" max="5" width="12.625"/>
    <col min="7" max="7" width="12.625"/>
  </cols>
  <sheetData>
    <row r="1" spans="1:4">
      <c r="A1">
        <v>1</v>
      </c>
      <c r="B1">
        <v>0</v>
      </c>
      <c r="C1">
        <v>10</v>
      </c>
      <c r="D1">
        <f>C1-B1+1</f>
        <v>11</v>
      </c>
    </row>
    <row r="2" spans="1:4">
      <c r="A2">
        <v>2</v>
      </c>
      <c r="B2">
        <v>11</v>
      </c>
      <c r="C2">
        <v>21</v>
      </c>
      <c r="D2">
        <f t="shared" ref="D2:D18" si="0">C2-B2+1</f>
        <v>11</v>
      </c>
    </row>
    <row r="3" spans="1:4">
      <c r="A3">
        <v>3</v>
      </c>
      <c r="B3">
        <v>22</v>
      </c>
      <c r="C3">
        <v>30</v>
      </c>
      <c r="D3">
        <f t="shared" si="0"/>
        <v>9</v>
      </c>
    </row>
    <row r="4" spans="1:4">
      <c r="A4">
        <v>4</v>
      </c>
      <c r="B4">
        <v>31</v>
      </c>
      <c r="C4">
        <v>45</v>
      </c>
      <c r="D4">
        <f t="shared" si="0"/>
        <v>15</v>
      </c>
    </row>
    <row r="5" spans="1:4">
      <c r="A5">
        <v>5</v>
      </c>
      <c r="B5">
        <v>46</v>
      </c>
      <c r="C5">
        <v>59</v>
      </c>
      <c r="D5">
        <f t="shared" si="0"/>
        <v>14</v>
      </c>
    </row>
    <row r="6" spans="1:4">
      <c r="A6">
        <v>6</v>
      </c>
      <c r="B6">
        <v>60</v>
      </c>
      <c r="C6">
        <v>75</v>
      </c>
      <c r="D6">
        <f t="shared" si="0"/>
        <v>16</v>
      </c>
    </row>
    <row r="7" spans="1:4">
      <c r="A7">
        <v>7</v>
      </c>
      <c r="B7">
        <v>76</v>
      </c>
      <c r="C7">
        <v>87</v>
      </c>
      <c r="D7">
        <f t="shared" si="0"/>
        <v>12</v>
      </c>
    </row>
    <row r="8" spans="1:4">
      <c r="A8">
        <v>8</v>
      </c>
      <c r="B8">
        <v>88</v>
      </c>
      <c r="C8">
        <v>100</v>
      </c>
      <c r="D8">
        <f t="shared" si="0"/>
        <v>13</v>
      </c>
    </row>
    <row r="9" spans="1:4">
      <c r="A9">
        <v>9</v>
      </c>
      <c r="B9">
        <v>101</v>
      </c>
      <c r="C9">
        <v>112</v>
      </c>
      <c r="D9">
        <f t="shared" si="0"/>
        <v>12</v>
      </c>
    </row>
    <row r="10" spans="1:4">
      <c r="A10">
        <v>10</v>
      </c>
      <c r="B10">
        <v>113</v>
      </c>
      <c r="C10">
        <v>125</v>
      </c>
      <c r="D10">
        <f t="shared" si="0"/>
        <v>13</v>
      </c>
    </row>
    <row r="11" spans="1:4">
      <c r="A11">
        <v>11</v>
      </c>
      <c r="B11">
        <v>126</v>
      </c>
      <c r="C11">
        <v>137</v>
      </c>
      <c r="D11">
        <f t="shared" si="0"/>
        <v>12</v>
      </c>
    </row>
    <row r="12" spans="1:4">
      <c r="A12">
        <v>12</v>
      </c>
      <c r="B12">
        <v>138</v>
      </c>
      <c r="C12">
        <v>148</v>
      </c>
      <c r="D12">
        <f t="shared" si="0"/>
        <v>11</v>
      </c>
    </row>
    <row r="13" spans="1:4">
      <c r="A13">
        <v>13</v>
      </c>
      <c r="B13">
        <v>149</v>
      </c>
      <c r="C13">
        <v>157</v>
      </c>
      <c r="D13">
        <f t="shared" si="0"/>
        <v>9</v>
      </c>
    </row>
    <row r="14" spans="1:4">
      <c r="A14">
        <v>14</v>
      </c>
      <c r="B14">
        <v>158</v>
      </c>
      <c r="C14">
        <v>166</v>
      </c>
      <c r="D14">
        <f t="shared" si="0"/>
        <v>9</v>
      </c>
    </row>
    <row r="15" spans="1:4">
      <c r="A15">
        <v>15</v>
      </c>
      <c r="B15">
        <v>167</v>
      </c>
      <c r="C15">
        <v>174</v>
      </c>
      <c r="D15">
        <f t="shared" si="0"/>
        <v>8</v>
      </c>
    </row>
    <row r="16" spans="1:4">
      <c r="A16">
        <v>16</v>
      </c>
      <c r="B16">
        <v>175</v>
      </c>
      <c r="C16">
        <v>187</v>
      </c>
      <c r="D16">
        <f t="shared" si="0"/>
        <v>13</v>
      </c>
    </row>
    <row r="17" spans="1:4">
      <c r="A17">
        <v>17</v>
      </c>
      <c r="B17">
        <v>188</v>
      </c>
      <c r="C17">
        <v>196</v>
      </c>
      <c r="D17">
        <f t="shared" si="0"/>
        <v>9</v>
      </c>
    </row>
    <row r="18" spans="1:4">
      <c r="A18">
        <v>18</v>
      </c>
      <c r="B18">
        <v>197</v>
      </c>
      <c r="C18">
        <v>211</v>
      </c>
      <c r="D18">
        <f t="shared" si="0"/>
        <v>15</v>
      </c>
    </row>
    <row r="19" spans="1:4">
      <c r="A19" t="s">
        <v>185</v>
      </c>
      <c r="D19">
        <v>3</v>
      </c>
    </row>
    <row r="20" spans="4:7">
      <c r="D20">
        <f>SUM(D1:D19)</f>
        <v>215</v>
      </c>
      <c r="E20">
        <f>D20*2</f>
        <v>430</v>
      </c>
      <c r="F20">
        <f>27+48*5</f>
        <v>267</v>
      </c>
      <c r="G20">
        <f>3*48</f>
        <v>144</v>
      </c>
    </row>
    <row r="21" spans="5:5">
      <c r="E21">
        <f>E20/48</f>
        <v>8.95833333333333</v>
      </c>
    </row>
    <row r="24" spans="4:4">
      <c r="D24">
        <f>48*6</f>
        <v>288</v>
      </c>
    </row>
  </sheetData>
  <pageMargins left="0.75" right="0.75" top="1" bottom="1" header="0.5" footer="0.5"/>
  <pageSetup paperSize="9" orientation="portrait"/>
  <headerFooter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3"/>
  <dimension ref="A1:S18"/>
  <sheetViews>
    <sheetView workbookViewId="0">
      <selection activeCell="J2" sqref="J4:J8 J2"/>
    </sheetView>
  </sheetViews>
  <sheetFormatPr defaultColWidth="9" defaultRowHeight="13.5"/>
  <cols>
    <col min="8" max="8" width="10.375" customWidth="1"/>
  </cols>
  <sheetData>
    <row r="1" ht="15" spans="1:11">
      <c r="A1" s="1" t="s">
        <v>0</v>
      </c>
      <c r="B1" s="2" t="s">
        <v>24</v>
      </c>
      <c r="C1" s="2" t="s">
        <v>25</v>
      </c>
      <c r="D1" s="2" t="s">
        <v>26</v>
      </c>
      <c r="E1" s="2" t="s">
        <v>27</v>
      </c>
      <c r="F1" s="3" t="s">
        <v>28</v>
      </c>
      <c r="G1" s="2" t="s">
        <v>3</v>
      </c>
      <c r="H1" s="4" t="s">
        <v>29</v>
      </c>
      <c r="I1" s="11" t="s">
        <v>30</v>
      </c>
      <c r="K1" s="12"/>
    </row>
    <row r="2" ht="16.5" spans="1:19">
      <c r="A2" s="5" t="s">
        <v>31</v>
      </c>
      <c r="B2" s="6" t="s">
        <v>32</v>
      </c>
      <c r="C2" s="6">
        <v>16</v>
      </c>
      <c r="D2" s="7">
        <v>2000</v>
      </c>
      <c r="E2" s="6">
        <v>7420</v>
      </c>
      <c r="F2" s="8" t="s">
        <v>33</v>
      </c>
      <c r="G2" s="5">
        <v>10</v>
      </c>
      <c r="H2" s="9">
        <v>18639.04</v>
      </c>
      <c r="I2" s="13" t="s">
        <v>11</v>
      </c>
      <c r="J2" t="s">
        <v>78</v>
      </c>
      <c r="K2" s="12" t="s">
        <v>1276</v>
      </c>
      <c r="L2" t="s">
        <v>1276</v>
      </c>
      <c r="M2" t="s">
        <v>1276</v>
      </c>
      <c r="N2">
        <v>10</v>
      </c>
      <c r="S2" s="14">
        <v>18639.04</v>
      </c>
    </row>
    <row r="3" ht="16.5" spans="1:19">
      <c r="A3" s="5" t="s">
        <v>31</v>
      </c>
      <c r="B3" s="6" t="s">
        <v>32</v>
      </c>
      <c r="C3" s="6">
        <v>16</v>
      </c>
      <c r="D3" s="7">
        <v>2000</v>
      </c>
      <c r="E3" s="6">
        <v>7440</v>
      </c>
      <c r="F3" s="8" t="s">
        <v>33</v>
      </c>
      <c r="G3" s="5">
        <v>3</v>
      </c>
      <c r="H3" s="9">
        <v>5606.784</v>
      </c>
      <c r="I3" s="13" t="s">
        <v>11</v>
      </c>
      <c r="J3" t="s">
        <v>89</v>
      </c>
      <c r="K3" s="12" t="s">
        <v>372</v>
      </c>
      <c r="L3" t="s">
        <v>372</v>
      </c>
      <c r="M3" t="s">
        <v>372</v>
      </c>
      <c r="N3">
        <v>3</v>
      </c>
      <c r="S3" s="14">
        <v>5606.784</v>
      </c>
    </row>
    <row r="4" ht="16.5" spans="1:19">
      <c r="A4" s="5" t="s">
        <v>31</v>
      </c>
      <c r="B4" s="6" t="s">
        <v>32</v>
      </c>
      <c r="C4" s="6">
        <v>16</v>
      </c>
      <c r="D4" s="7">
        <v>2000</v>
      </c>
      <c r="E4" s="6">
        <v>7630</v>
      </c>
      <c r="F4" s="8" t="s">
        <v>33</v>
      </c>
      <c r="G4" s="5">
        <v>6</v>
      </c>
      <c r="H4" s="9">
        <v>11499.936</v>
      </c>
      <c r="I4" s="13" t="s">
        <v>11</v>
      </c>
      <c r="J4" t="s">
        <v>78</v>
      </c>
      <c r="K4" s="12" t="s">
        <v>1276</v>
      </c>
      <c r="L4" t="s">
        <v>1276</v>
      </c>
      <c r="M4" t="s">
        <v>1276</v>
      </c>
      <c r="N4">
        <v>6</v>
      </c>
      <c r="S4" s="14">
        <v>11499.936</v>
      </c>
    </row>
    <row r="5" ht="16.5" spans="1:19">
      <c r="A5" s="5" t="s">
        <v>31</v>
      </c>
      <c r="B5" s="6" t="s">
        <v>32</v>
      </c>
      <c r="C5" s="6">
        <v>16</v>
      </c>
      <c r="D5" s="7">
        <v>2000</v>
      </c>
      <c r="E5" s="6">
        <v>9240</v>
      </c>
      <c r="F5" s="8" t="s">
        <v>33</v>
      </c>
      <c r="G5" s="5">
        <v>4</v>
      </c>
      <c r="H5" s="9">
        <v>9284.352</v>
      </c>
      <c r="I5" s="13" t="s">
        <v>19</v>
      </c>
      <c r="J5" t="s">
        <v>89</v>
      </c>
      <c r="K5" s="12" t="s">
        <v>1276</v>
      </c>
      <c r="L5" t="s">
        <v>1276</v>
      </c>
      <c r="M5" t="s">
        <v>1276</v>
      </c>
      <c r="N5">
        <v>4</v>
      </c>
      <c r="S5" s="14">
        <v>9284.352</v>
      </c>
    </row>
    <row r="6" ht="16.5" spans="1:19">
      <c r="A6" s="5" t="s">
        <v>31</v>
      </c>
      <c r="B6" s="6" t="s">
        <v>32</v>
      </c>
      <c r="C6" s="6">
        <v>16</v>
      </c>
      <c r="D6" s="10">
        <v>2000</v>
      </c>
      <c r="E6" s="6">
        <v>9846</v>
      </c>
      <c r="F6" s="8" t="s">
        <v>33</v>
      </c>
      <c r="G6" s="5">
        <v>5</v>
      </c>
      <c r="H6" s="9">
        <v>12366.576</v>
      </c>
      <c r="I6" s="13" t="s">
        <v>19</v>
      </c>
      <c r="J6" t="s">
        <v>84</v>
      </c>
      <c r="K6" s="12" t="s">
        <v>1276</v>
      </c>
      <c r="L6" t="s">
        <v>1276</v>
      </c>
      <c r="M6" t="s">
        <v>1276</v>
      </c>
      <c r="N6">
        <v>5</v>
      </c>
      <c r="S6" s="14">
        <v>12366.576</v>
      </c>
    </row>
    <row r="7" ht="16.5" spans="1:19">
      <c r="A7" s="5" t="s">
        <v>31</v>
      </c>
      <c r="B7" s="6" t="s">
        <v>32</v>
      </c>
      <c r="C7" s="6">
        <v>16</v>
      </c>
      <c r="D7" s="7">
        <v>2000</v>
      </c>
      <c r="E7" s="6">
        <v>11300</v>
      </c>
      <c r="F7" s="8" t="s">
        <v>33</v>
      </c>
      <c r="G7" s="5">
        <v>5</v>
      </c>
      <c r="H7" s="9">
        <v>14192.8</v>
      </c>
      <c r="I7" s="13" t="s">
        <v>19</v>
      </c>
      <c r="J7" t="s">
        <v>78</v>
      </c>
      <c r="K7" s="12" t="s">
        <v>1276</v>
      </c>
      <c r="L7" t="s">
        <v>1276</v>
      </c>
      <c r="M7" t="s">
        <v>1276</v>
      </c>
      <c r="N7">
        <v>5</v>
      </c>
      <c r="S7" s="14">
        <v>14192.8</v>
      </c>
    </row>
    <row r="8" ht="16.5" spans="1:19">
      <c r="A8" s="5" t="s">
        <v>31</v>
      </c>
      <c r="B8" s="6" t="s">
        <v>32</v>
      </c>
      <c r="C8" s="6">
        <v>16</v>
      </c>
      <c r="D8" s="7">
        <v>2000</v>
      </c>
      <c r="E8" s="6">
        <v>11400</v>
      </c>
      <c r="F8" s="8" t="s">
        <v>33</v>
      </c>
      <c r="G8" s="5">
        <v>3</v>
      </c>
      <c r="H8" s="9">
        <v>8591.04</v>
      </c>
      <c r="I8" s="13" t="s">
        <v>11</v>
      </c>
      <c r="J8" t="s">
        <v>72</v>
      </c>
      <c r="K8" s="12" t="s">
        <v>1276</v>
      </c>
      <c r="L8" t="s">
        <v>1276</v>
      </c>
      <c r="M8" t="s">
        <v>1276</v>
      </c>
      <c r="N8">
        <v>3</v>
      </c>
      <c r="S8" s="14">
        <v>8591.04</v>
      </c>
    </row>
    <row r="12" spans="11:16">
      <c r="K12">
        <f>N12-1800</f>
        <v>5620</v>
      </c>
      <c r="L12">
        <f>N12-1200</f>
        <v>6220</v>
      </c>
      <c r="M12">
        <f>N12-600</f>
        <v>6820</v>
      </c>
      <c r="N12">
        <v>7420</v>
      </c>
      <c r="O12" t="s">
        <v>33</v>
      </c>
      <c r="P12">
        <v>10</v>
      </c>
    </row>
    <row r="13" spans="11:16">
      <c r="K13">
        <f t="shared" ref="K13:K18" si="0">N13-1800</f>
        <v>5640</v>
      </c>
      <c r="L13">
        <f t="shared" ref="L13:L18" si="1">N13-1200</f>
        <v>6240</v>
      </c>
      <c r="M13">
        <f t="shared" ref="M13:M18" si="2">N13-600</f>
        <v>6840</v>
      </c>
      <c r="N13">
        <v>7440</v>
      </c>
      <c r="O13" t="s">
        <v>33</v>
      </c>
      <c r="P13">
        <v>3</v>
      </c>
    </row>
    <row r="14" spans="11:18">
      <c r="K14">
        <f t="shared" si="0"/>
        <v>5830</v>
      </c>
      <c r="L14">
        <f t="shared" si="1"/>
        <v>6430</v>
      </c>
      <c r="M14">
        <f t="shared" si="2"/>
        <v>7030</v>
      </c>
      <c r="N14">
        <v>7630</v>
      </c>
      <c r="O14" t="s">
        <v>33</v>
      </c>
      <c r="P14">
        <v>6</v>
      </c>
      <c r="Q14" t="s">
        <v>1277</v>
      </c>
      <c r="R14" t="s">
        <v>1278</v>
      </c>
    </row>
    <row r="15" spans="9:16">
      <c r="I15">
        <f>N15-3000</f>
        <v>6240</v>
      </c>
      <c r="J15">
        <f>N15-2400</f>
        <v>6840</v>
      </c>
      <c r="K15">
        <f t="shared" si="0"/>
        <v>7440</v>
      </c>
      <c r="L15">
        <f t="shared" si="1"/>
        <v>8040</v>
      </c>
      <c r="M15">
        <f t="shared" si="2"/>
        <v>8640</v>
      </c>
      <c r="N15">
        <v>9240</v>
      </c>
      <c r="O15" t="s">
        <v>33</v>
      </c>
      <c r="P15">
        <v>4</v>
      </c>
    </row>
    <row r="16" spans="8:16">
      <c r="H16">
        <f>N16-3600</f>
        <v>6240</v>
      </c>
      <c r="I16">
        <f>N16-3000</f>
        <v>6840</v>
      </c>
      <c r="J16">
        <f>N16-2400</f>
        <v>7440</v>
      </c>
      <c r="K16">
        <f t="shared" si="0"/>
        <v>8040</v>
      </c>
      <c r="L16">
        <f t="shared" si="1"/>
        <v>8640</v>
      </c>
      <c r="M16">
        <f t="shared" si="2"/>
        <v>9240</v>
      </c>
      <c r="N16">
        <v>9840</v>
      </c>
      <c r="O16" t="s">
        <v>33</v>
      </c>
      <c r="P16">
        <v>5</v>
      </c>
    </row>
    <row r="17" spans="6:16">
      <c r="F17">
        <f>N17-4800</f>
        <v>6500</v>
      </c>
      <c r="G17">
        <f>N17-4200</f>
        <v>7100</v>
      </c>
      <c r="H17">
        <f>N17-3600</f>
        <v>7700</v>
      </c>
      <c r="I17">
        <f>N17-3000</f>
        <v>8300</v>
      </c>
      <c r="J17">
        <f>N17-2400</f>
        <v>8900</v>
      </c>
      <c r="K17">
        <f t="shared" si="0"/>
        <v>9500</v>
      </c>
      <c r="L17">
        <f t="shared" si="1"/>
        <v>10100</v>
      </c>
      <c r="M17">
        <f t="shared" si="2"/>
        <v>10700</v>
      </c>
      <c r="N17">
        <v>11300</v>
      </c>
      <c r="O17" t="s">
        <v>33</v>
      </c>
      <c r="P17">
        <v>5</v>
      </c>
    </row>
    <row r="18" spans="6:16">
      <c r="F18">
        <f>N18-4800</f>
        <v>6600</v>
      </c>
      <c r="G18">
        <f>N18-4200</f>
        <v>7200</v>
      </c>
      <c r="H18">
        <f>N18-3600</f>
        <v>7800</v>
      </c>
      <c r="I18">
        <f>N18-3000</f>
        <v>8400</v>
      </c>
      <c r="J18">
        <f>N18-2400</f>
        <v>9000</v>
      </c>
      <c r="K18">
        <f t="shared" si="0"/>
        <v>9600</v>
      </c>
      <c r="L18">
        <f t="shared" si="1"/>
        <v>10200</v>
      </c>
      <c r="M18">
        <f t="shared" si="2"/>
        <v>10800</v>
      </c>
      <c r="N18">
        <v>11400</v>
      </c>
      <c r="O18" t="s">
        <v>33</v>
      </c>
      <c r="P18">
        <v>3</v>
      </c>
    </row>
  </sheetData>
  <pageMargins left="0.75" right="0.75" top="1" bottom="1" header="0.5" footer="0.5"/>
  <pageSetup paperSize="9" orientation="portrait"/>
  <headerFooter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4"/>
  <dimension ref="A1"/>
  <sheetViews>
    <sheetView workbookViewId="0">
      <selection activeCell="A1" sqref="A1"/>
    </sheetView>
  </sheetViews>
  <sheetFormatPr defaultColWidth="9" defaultRowHeight="13.5"/>
  <sheetData/>
  <sheetProtection formatCells="0" insertHyperlinks="0" autoFilter="0"/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L61"/>
  <sheetViews>
    <sheetView topLeftCell="A33" workbookViewId="0">
      <selection activeCell="A63" sqref="A63:J66"/>
    </sheetView>
  </sheetViews>
  <sheetFormatPr defaultColWidth="9" defaultRowHeight="13.5"/>
  <cols>
    <col min="4" max="4" width="12.625"/>
    <col min="5" max="5" width="9.375"/>
    <col min="11" max="11" width="12.625"/>
    <col min="12" max="12" width="13.75"/>
  </cols>
  <sheetData>
    <row r="1" ht="22.5" spans="1:10">
      <c r="A1" s="15" t="s">
        <v>20</v>
      </c>
      <c r="B1" s="15"/>
      <c r="C1" s="15"/>
      <c r="D1" s="15"/>
      <c r="E1" s="15"/>
      <c r="F1" s="15"/>
      <c r="G1" s="15"/>
      <c r="H1" s="15"/>
      <c r="I1" s="15"/>
      <c r="J1" s="15"/>
    </row>
    <row r="2" ht="16.5" spans="1:10">
      <c r="A2" s="16" t="s">
        <v>21</v>
      </c>
      <c r="B2" s="17"/>
      <c r="C2" s="17"/>
      <c r="D2" s="17"/>
      <c r="E2" s="17"/>
      <c r="F2" s="17"/>
      <c r="G2" s="17"/>
      <c r="H2" s="17"/>
      <c r="I2" s="17"/>
      <c r="J2" s="26"/>
    </row>
    <row r="3" ht="16.5" spans="1:10">
      <c r="A3" s="18" t="s">
        <v>48</v>
      </c>
      <c r="B3" s="19"/>
      <c r="C3" s="19"/>
      <c r="D3" s="17"/>
      <c r="E3" s="19"/>
      <c r="F3" s="19"/>
      <c r="G3" s="17"/>
      <c r="H3" s="17"/>
      <c r="I3" s="26"/>
      <c r="J3" s="26"/>
    </row>
    <row r="4" ht="15" spans="1:10">
      <c r="A4" s="1" t="s">
        <v>23</v>
      </c>
      <c r="B4" s="1" t="s">
        <v>0</v>
      </c>
      <c r="C4" s="2" t="s">
        <v>24</v>
      </c>
      <c r="D4" s="2" t="s">
        <v>25</v>
      </c>
      <c r="E4" s="2" t="s">
        <v>26</v>
      </c>
      <c r="F4" s="2" t="s">
        <v>27</v>
      </c>
      <c r="G4" s="3" t="s">
        <v>28</v>
      </c>
      <c r="H4" s="2" t="s">
        <v>3</v>
      </c>
      <c r="I4" s="11" t="s">
        <v>29</v>
      </c>
      <c r="J4" s="11" t="s">
        <v>30</v>
      </c>
    </row>
    <row r="5" ht="16.5" spans="1:10">
      <c r="A5" s="5">
        <v>1</v>
      </c>
      <c r="B5" s="5" t="s">
        <v>31</v>
      </c>
      <c r="C5" s="156" t="s">
        <v>32</v>
      </c>
      <c r="D5" s="6">
        <v>16</v>
      </c>
      <c r="E5" s="6">
        <v>2005</v>
      </c>
      <c r="F5" s="6">
        <v>9720</v>
      </c>
      <c r="G5" s="8" t="s">
        <v>33</v>
      </c>
      <c r="H5" s="5">
        <v>1</v>
      </c>
      <c r="I5" s="157">
        <f t="shared" ref="I5:I57" si="0">D5*E5*F5*H5*7.85/1000000</f>
        <v>2447.76816</v>
      </c>
      <c r="J5" s="13" t="s">
        <v>11</v>
      </c>
    </row>
    <row r="6" ht="16.5" spans="1:10">
      <c r="A6" s="5">
        <v>2</v>
      </c>
      <c r="B6" s="5" t="s">
        <v>31</v>
      </c>
      <c r="C6" s="156" t="s">
        <v>32</v>
      </c>
      <c r="D6" s="6">
        <v>16</v>
      </c>
      <c r="E6" s="6">
        <v>1805</v>
      </c>
      <c r="F6" s="6">
        <v>9720</v>
      </c>
      <c r="G6" s="8" t="s">
        <v>33</v>
      </c>
      <c r="H6" s="5">
        <v>1</v>
      </c>
      <c r="I6" s="157">
        <f t="shared" si="0"/>
        <v>2203.60176</v>
      </c>
      <c r="J6" s="13" t="s">
        <v>11</v>
      </c>
    </row>
    <row r="7" ht="16.5" spans="1:10">
      <c r="A7" s="5">
        <v>3</v>
      </c>
      <c r="B7" s="5" t="s">
        <v>31</v>
      </c>
      <c r="C7" s="156" t="s">
        <v>32</v>
      </c>
      <c r="D7" s="6">
        <v>16</v>
      </c>
      <c r="E7" s="6">
        <v>2005</v>
      </c>
      <c r="F7" s="6">
        <v>7430</v>
      </c>
      <c r="G7" s="8" t="s">
        <v>33</v>
      </c>
      <c r="H7" s="5">
        <v>1</v>
      </c>
      <c r="I7" s="157">
        <f t="shared" si="0"/>
        <v>1871.08204</v>
      </c>
      <c r="J7" s="13" t="s">
        <v>11</v>
      </c>
    </row>
    <row r="8" ht="16.5" spans="1:10">
      <c r="A8" s="5">
        <v>4</v>
      </c>
      <c r="B8" s="5" t="s">
        <v>31</v>
      </c>
      <c r="C8" s="156" t="s">
        <v>32</v>
      </c>
      <c r="D8" s="6">
        <v>16</v>
      </c>
      <c r="E8" s="6">
        <v>2005</v>
      </c>
      <c r="F8" s="6">
        <v>7430</v>
      </c>
      <c r="G8" s="8" t="s">
        <v>33</v>
      </c>
      <c r="H8" s="5">
        <v>1</v>
      </c>
      <c r="I8" s="157">
        <f t="shared" si="0"/>
        <v>1871.08204</v>
      </c>
      <c r="J8" s="13" t="s">
        <v>11</v>
      </c>
    </row>
    <row r="9" ht="16.5" spans="1:10">
      <c r="A9" s="5">
        <v>5</v>
      </c>
      <c r="B9" s="5" t="s">
        <v>31</v>
      </c>
      <c r="C9" s="156" t="s">
        <v>32</v>
      </c>
      <c r="D9" s="6">
        <v>16</v>
      </c>
      <c r="E9" s="6">
        <v>2005</v>
      </c>
      <c r="F9" s="6">
        <v>7440</v>
      </c>
      <c r="G9" s="8" t="s">
        <v>33</v>
      </c>
      <c r="H9" s="5">
        <v>1</v>
      </c>
      <c r="I9" s="157">
        <f t="shared" si="0"/>
        <v>1873.60032</v>
      </c>
      <c r="J9" s="13" t="s">
        <v>11</v>
      </c>
    </row>
    <row r="10" ht="16.5" spans="1:10">
      <c r="A10" s="5">
        <v>6</v>
      </c>
      <c r="B10" s="5" t="s">
        <v>31</v>
      </c>
      <c r="C10" s="156" t="s">
        <v>32</v>
      </c>
      <c r="D10" s="6">
        <v>16</v>
      </c>
      <c r="E10" s="6">
        <v>2005</v>
      </c>
      <c r="F10" s="6">
        <v>7430</v>
      </c>
      <c r="G10" s="8" t="s">
        <v>33</v>
      </c>
      <c r="H10" s="5">
        <v>1</v>
      </c>
      <c r="I10" s="157">
        <f t="shared" si="0"/>
        <v>1871.08204</v>
      </c>
      <c r="J10" s="13" t="s">
        <v>11</v>
      </c>
    </row>
    <row r="11" ht="16.5" spans="1:10">
      <c r="A11" s="5">
        <v>7</v>
      </c>
      <c r="B11" s="5" t="s">
        <v>31</v>
      </c>
      <c r="C11" s="156" t="s">
        <v>32</v>
      </c>
      <c r="D11" s="6">
        <v>16</v>
      </c>
      <c r="E11" s="6">
        <v>2005</v>
      </c>
      <c r="F11" s="6">
        <v>11130</v>
      </c>
      <c r="G11" s="8" t="s">
        <v>33</v>
      </c>
      <c r="H11" s="5">
        <v>1</v>
      </c>
      <c r="I11" s="157">
        <f t="shared" si="0"/>
        <v>2802.84564</v>
      </c>
      <c r="J11" s="13" t="s">
        <v>11</v>
      </c>
    </row>
    <row r="12" ht="16.5" spans="1:10">
      <c r="A12" s="5">
        <v>8</v>
      </c>
      <c r="B12" s="5" t="s">
        <v>31</v>
      </c>
      <c r="C12" s="156" t="s">
        <v>32</v>
      </c>
      <c r="D12" s="6">
        <v>16</v>
      </c>
      <c r="E12" s="6">
        <v>1950</v>
      </c>
      <c r="F12" s="6">
        <v>7690</v>
      </c>
      <c r="G12" s="8" t="s">
        <v>33</v>
      </c>
      <c r="H12" s="5">
        <v>1</v>
      </c>
      <c r="I12" s="157">
        <f t="shared" si="0"/>
        <v>1883.4348</v>
      </c>
      <c r="J12" s="13" t="s">
        <v>11</v>
      </c>
    </row>
    <row r="13" ht="16.5" spans="1:10">
      <c r="A13" s="5">
        <v>9</v>
      </c>
      <c r="B13" s="5" t="s">
        <v>31</v>
      </c>
      <c r="C13" s="156" t="s">
        <v>32</v>
      </c>
      <c r="D13" s="6">
        <v>16</v>
      </c>
      <c r="E13" s="6">
        <v>2005</v>
      </c>
      <c r="F13" s="6">
        <v>7550</v>
      </c>
      <c r="G13" s="8" t="s">
        <v>33</v>
      </c>
      <c r="H13" s="5">
        <v>1</v>
      </c>
      <c r="I13" s="157">
        <f t="shared" si="0"/>
        <v>1901.3014</v>
      </c>
      <c r="J13" s="13" t="s">
        <v>11</v>
      </c>
    </row>
    <row r="14" ht="16.5" spans="1:10">
      <c r="A14" s="5">
        <v>10</v>
      </c>
      <c r="B14" s="5" t="s">
        <v>31</v>
      </c>
      <c r="C14" s="156" t="s">
        <v>32</v>
      </c>
      <c r="D14" s="6">
        <v>16</v>
      </c>
      <c r="E14" s="6">
        <v>2005</v>
      </c>
      <c r="F14" s="6">
        <v>7440</v>
      </c>
      <c r="G14" s="8" t="s">
        <v>33</v>
      </c>
      <c r="H14" s="5">
        <v>1</v>
      </c>
      <c r="I14" s="157">
        <f t="shared" si="0"/>
        <v>1873.60032</v>
      </c>
      <c r="J14" s="13" t="s">
        <v>11</v>
      </c>
    </row>
    <row r="15" ht="16.5" spans="1:10">
      <c r="A15" s="5">
        <v>11</v>
      </c>
      <c r="B15" s="5" t="s">
        <v>31</v>
      </c>
      <c r="C15" s="156" t="s">
        <v>32</v>
      </c>
      <c r="D15" s="6">
        <v>16</v>
      </c>
      <c r="E15" s="6">
        <v>1820</v>
      </c>
      <c r="F15" s="6">
        <v>7490</v>
      </c>
      <c r="G15" s="8" t="s">
        <v>33</v>
      </c>
      <c r="H15" s="5">
        <v>1</v>
      </c>
      <c r="I15" s="157">
        <f t="shared" si="0"/>
        <v>1712.15408</v>
      </c>
      <c r="J15" s="13" t="s">
        <v>11</v>
      </c>
    </row>
    <row r="16" ht="16.5" spans="1:10">
      <c r="A16" s="5">
        <v>12</v>
      </c>
      <c r="B16" s="5" t="s">
        <v>31</v>
      </c>
      <c r="C16" s="156" t="s">
        <v>32</v>
      </c>
      <c r="D16" s="6">
        <v>16</v>
      </c>
      <c r="E16" s="6">
        <v>1805</v>
      </c>
      <c r="F16" s="6">
        <v>7430</v>
      </c>
      <c r="G16" s="8" t="s">
        <v>33</v>
      </c>
      <c r="H16" s="5">
        <v>1</v>
      </c>
      <c r="I16" s="157">
        <f t="shared" si="0"/>
        <v>1684.44044</v>
      </c>
      <c r="J16" s="13" t="s">
        <v>11</v>
      </c>
    </row>
    <row r="17" ht="16.5" spans="1:10">
      <c r="A17" s="5">
        <v>13</v>
      </c>
      <c r="B17" s="5" t="s">
        <v>31</v>
      </c>
      <c r="C17" s="156" t="s">
        <v>32</v>
      </c>
      <c r="D17" s="6">
        <v>16</v>
      </c>
      <c r="E17" s="6">
        <v>1805</v>
      </c>
      <c r="F17" s="6">
        <v>7430</v>
      </c>
      <c r="G17" s="8" t="s">
        <v>33</v>
      </c>
      <c r="H17" s="5">
        <v>1</v>
      </c>
      <c r="I17" s="157">
        <f t="shared" si="0"/>
        <v>1684.44044</v>
      </c>
      <c r="J17" s="13" t="s">
        <v>11</v>
      </c>
    </row>
    <row r="18" ht="16.5" spans="1:10">
      <c r="A18" s="5">
        <v>14</v>
      </c>
      <c r="B18" s="5" t="s">
        <v>31</v>
      </c>
      <c r="C18" s="156" t="s">
        <v>32</v>
      </c>
      <c r="D18" s="6">
        <v>16</v>
      </c>
      <c r="E18" s="6">
        <v>1805</v>
      </c>
      <c r="F18" s="6">
        <v>7430</v>
      </c>
      <c r="G18" s="8" t="s">
        <v>33</v>
      </c>
      <c r="H18" s="5">
        <v>1</v>
      </c>
      <c r="I18" s="157">
        <f t="shared" si="0"/>
        <v>1684.44044</v>
      </c>
      <c r="J18" s="13" t="s">
        <v>11</v>
      </c>
    </row>
    <row r="19" ht="16.5" spans="1:10">
      <c r="A19" s="5">
        <v>15</v>
      </c>
      <c r="B19" s="5" t="s">
        <v>31</v>
      </c>
      <c r="C19" s="156" t="s">
        <v>32</v>
      </c>
      <c r="D19" s="6">
        <v>16</v>
      </c>
      <c r="E19" s="6">
        <v>2005</v>
      </c>
      <c r="F19" s="6">
        <v>7440</v>
      </c>
      <c r="G19" s="8" t="s">
        <v>33</v>
      </c>
      <c r="H19" s="5">
        <v>1</v>
      </c>
      <c r="I19" s="157">
        <f t="shared" si="0"/>
        <v>1873.60032</v>
      </c>
      <c r="J19" s="13" t="s">
        <v>11</v>
      </c>
    </row>
    <row r="20" ht="16.5" spans="1:10">
      <c r="A20" s="5">
        <v>16</v>
      </c>
      <c r="B20" s="5" t="s">
        <v>31</v>
      </c>
      <c r="C20" s="156" t="s">
        <v>32</v>
      </c>
      <c r="D20" s="6">
        <v>16</v>
      </c>
      <c r="E20" s="6">
        <v>2005</v>
      </c>
      <c r="F20" s="6">
        <v>7160</v>
      </c>
      <c r="G20" s="8" t="s">
        <v>33</v>
      </c>
      <c r="H20" s="5">
        <v>1</v>
      </c>
      <c r="I20" s="157">
        <f t="shared" si="0"/>
        <v>1803.08848</v>
      </c>
      <c r="J20" s="13" t="s">
        <v>11</v>
      </c>
    </row>
    <row r="21" ht="16.5" spans="1:10">
      <c r="A21" s="5">
        <v>17</v>
      </c>
      <c r="B21" s="5" t="s">
        <v>31</v>
      </c>
      <c r="C21" s="156" t="s">
        <v>32</v>
      </c>
      <c r="D21" s="6">
        <v>16</v>
      </c>
      <c r="E21" s="6">
        <v>1970</v>
      </c>
      <c r="F21" s="6">
        <v>11710</v>
      </c>
      <c r="G21" s="8" t="s">
        <v>33</v>
      </c>
      <c r="H21" s="5">
        <v>1</v>
      </c>
      <c r="I21" s="157">
        <f t="shared" si="0"/>
        <v>2897.42872</v>
      </c>
      <c r="J21" s="13" t="s">
        <v>11</v>
      </c>
    </row>
    <row r="22" ht="16.5" spans="1:10">
      <c r="A22" s="5">
        <v>18</v>
      </c>
      <c r="B22" s="5" t="s">
        <v>31</v>
      </c>
      <c r="C22" s="156" t="s">
        <v>32</v>
      </c>
      <c r="D22" s="6">
        <v>16</v>
      </c>
      <c r="E22" s="6">
        <v>1505</v>
      </c>
      <c r="F22" s="6">
        <v>10020</v>
      </c>
      <c r="G22" s="8" t="s">
        <v>33</v>
      </c>
      <c r="H22" s="5">
        <v>1</v>
      </c>
      <c r="I22" s="157">
        <f t="shared" si="0"/>
        <v>1894.06056</v>
      </c>
      <c r="J22" s="13" t="s">
        <v>34</v>
      </c>
    </row>
    <row r="23" ht="16.5" spans="1:10">
      <c r="A23" s="5">
        <v>19</v>
      </c>
      <c r="B23" s="5" t="s">
        <v>31</v>
      </c>
      <c r="C23" s="156" t="s">
        <v>32</v>
      </c>
      <c r="D23" s="6">
        <v>16</v>
      </c>
      <c r="E23" s="6">
        <v>1800</v>
      </c>
      <c r="F23" s="6">
        <v>8200</v>
      </c>
      <c r="G23" s="8" t="s">
        <v>33</v>
      </c>
      <c r="H23" s="5">
        <v>1</v>
      </c>
      <c r="I23" s="157">
        <f t="shared" si="0"/>
        <v>1853.856</v>
      </c>
      <c r="J23" s="13" t="s">
        <v>34</v>
      </c>
    </row>
    <row r="24" ht="16.5" spans="1:10">
      <c r="A24" s="5">
        <v>20</v>
      </c>
      <c r="B24" s="5" t="s">
        <v>31</v>
      </c>
      <c r="C24" s="156" t="s">
        <v>32</v>
      </c>
      <c r="D24" s="6">
        <v>16</v>
      </c>
      <c r="E24" s="6">
        <v>1790</v>
      </c>
      <c r="F24" s="6">
        <v>8270</v>
      </c>
      <c r="G24" s="8" t="s">
        <v>33</v>
      </c>
      <c r="H24" s="5">
        <v>1</v>
      </c>
      <c r="I24" s="157">
        <f t="shared" si="0"/>
        <v>1859.29448</v>
      </c>
      <c r="J24" s="13" t="s">
        <v>34</v>
      </c>
    </row>
    <row r="25" ht="16.5" spans="1:10">
      <c r="A25" s="5">
        <v>21</v>
      </c>
      <c r="B25" s="5" t="s">
        <v>31</v>
      </c>
      <c r="C25" s="156" t="s">
        <v>32</v>
      </c>
      <c r="D25" s="6">
        <v>16</v>
      </c>
      <c r="E25" s="6">
        <v>1800</v>
      </c>
      <c r="F25" s="6">
        <v>8150</v>
      </c>
      <c r="G25" s="8" t="s">
        <v>33</v>
      </c>
      <c r="H25" s="5">
        <v>1</v>
      </c>
      <c r="I25" s="157">
        <f t="shared" si="0"/>
        <v>1842.552</v>
      </c>
      <c r="J25" s="13" t="s">
        <v>34</v>
      </c>
    </row>
    <row r="26" ht="16.5" spans="1:10">
      <c r="A26" s="5">
        <v>22</v>
      </c>
      <c r="B26" s="5" t="s">
        <v>31</v>
      </c>
      <c r="C26" s="156" t="s">
        <v>32</v>
      </c>
      <c r="D26" s="6">
        <v>16</v>
      </c>
      <c r="E26" s="6">
        <v>1800</v>
      </c>
      <c r="F26" s="6">
        <v>7550</v>
      </c>
      <c r="G26" s="8" t="s">
        <v>33</v>
      </c>
      <c r="H26" s="5">
        <v>1</v>
      </c>
      <c r="I26" s="157">
        <f t="shared" si="0"/>
        <v>1706.904</v>
      </c>
      <c r="J26" s="13" t="s">
        <v>34</v>
      </c>
    </row>
    <row r="27" ht="16.5" spans="1:10">
      <c r="A27" s="5">
        <v>23</v>
      </c>
      <c r="B27" s="5" t="s">
        <v>31</v>
      </c>
      <c r="C27" s="156" t="s">
        <v>32</v>
      </c>
      <c r="D27" s="6">
        <v>16</v>
      </c>
      <c r="E27" s="6">
        <v>1505</v>
      </c>
      <c r="F27" s="6">
        <v>8030</v>
      </c>
      <c r="G27" s="8" t="s">
        <v>33</v>
      </c>
      <c r="H27" s="5">
        <v>1</v>
      </c>
      <c r="I27" s="157">
        <f t="shared" si="0"/>
        <v>1517.89484</v>
      </c>
      <c r="J27" s="13" t="s">
        <v>34</v>
      </c>
    </row>
    <row r="28" ht="16.5" spans="1:10">
      <c r="A28" s="5">
        <v>24</v>
      </c>
      <c r="B28" s="5" t="s">
        <v>31</v>
      </c>
      <c r="C28" s="156" t="s">
        <v>32</v>
      </c>
      <c r="D28" s="6">
        <v>16</v>
      </c>
      <c r="E28" s="6">
        <v>1505</v>
      </c>
      <c r="F28" s="6">
        <v>8030</v>
      </c>
      <c r="G28" s="8" t="s">
        <v>33</v>
      </c>
      <c r="H28" s="5">
        <v>1</v>
      </c>
      <c r="I28" s="157">
        <f t="shared" si="0"/>
        <v>1517.89484</v>
      </c>
      <c r="J28" s="13" t="s">
        <v>34</v>
      </c>
    </row>
    <row r="29" ht="16.5" spans="1:10">
      <c r="A29" s="5">
        <v>25</v>
      </c>
      <c r="B29" s="5" t="s">
        <v>31</v>
      </c>
      <c r="C29" s="156" t="s">
        <v>32</v>
      </c>
      <c r="D29" s="6">
        <v>16</v>
      </c>
      <c r="E29" s="6">
        <v>1505</v>
      </c>
      <c r="F29" s="6">
        <v>8030</v>
      </c>
      <c r="G29" s="8" t="s">
        <v>33</v>
      </c>
      <c r="H29" s="5">
        <v>1</v>
      </c>
      <c r="I29" s="157">
        <f t="shared" si="0"/>
        <v>1517.89484</v>
      </c>
      <c r="J29" s="13" t="s">
        <v>34</v>
      </c>
    </row>
    <row r="30" ht="16.5" spans="1:10">
      <c r="A30" s="5">
        <v>26</v>
      </c>
      <c r="B30" s="5" t="s">
        <v>31</v>
      </c>
      <c r="C30" s="156" t="s">
        <v>32</v>
      </c>
      <c r="D30" s="6">
        <v>16</v>
      </c>
      <c r="E30" s="6">
        <v>1970</v>
      </c>
      <c r="F30" s="6">
        <v>10020</v>
      </c>
      <c r="G30" s="8" t="s">
        <v>33</v>
      </c>
      <c r="H30" s="5">
        <v>1</v>
      </c>
      <c r="I30" s="157">
        <f t="shared" si="0"/>
        <v>2479.26864</v>
      </c>
      <c r="J30" s="13" t="s">
        <v>34</v>
      </c>
    </row>
    <row r="31" ht="16.5" spans="1:10">
      <c r="A31" s="5">
        <v>27</v>
      </c>
      <c r="B31" s="5" t="s">
        <v>31</v>
      </c>
      <c r="C31" s="156" t="s">
        <v>32</v>
      </c>
      <c r="D31" s="6">
        <v>16</v>
      </c>
      <c r="E31" s="6">
        <v>1505</v>
      </c>
      <c r="F31" s="6">
        <v>6070</v>
      </c>
      <c r="G31" s="8" t="s">
        <v>33</v>
      </c>
      <c r="H31" s="5">
        <v>1</v>
      </c>
      <c r="I31" s="157">
        <f t="shared" si="0"/>
        <v>1147.39996</v>
      </c>
      <c r="J31" s="13" t="s">
        <v>34</v>
      </c>
    </row>
    <row r="32" ht="16.5" spans="1:10">
      <c r="A32" s="5">
        <v>28</v>
      </c>
      <c r="B32" s="5" t="s">
        <v>31</v>
      </c>
      <c r="C32" s="156" t="s">
        <v>32</v>
      </c>
      <c r="D32" s="6">
        <v>16</v>
      </c>
      <c r="E32" s="6">
        <v>1830</v>
      </c>
      <c r="F32" s="6">
        <v>8000</v>
      </c>
      <c r="G32" s="8" t="s">
        <v>33</v>
      </c>
      <c r="H32" s="5">
        <v>1</v>
      </c>
      <c r="I32" s="157">
        <f t="shared" si="0"/>
        <v>1838.784</v>
      </c>
      <c r="J32" s="13" t="s">
        <v>34</v>
      </c>
    </row>
    <row r="33" ht="16.5" spans="1:10">
      <c r="A33" s="5">
        <v>29</v>
      </c>
      <c r="B33" s="5" t="s">
        <v>31</v>
      </c>
      <c r="C33" s="156" t="s">
        <v>32</v>
      </c>
      <c r="D33" s="6">
        <v>16</v>
      </c>
      <c r="E33" s="6">
        <v>2010</v>
      </c>
      <c r="F33" s="6">
        <v>10540</v>
      </c>
      <c r="G33" s="8" t="s">
        <v>33</v>
      </c>
      <c r="H33" s="5">
        <v>1</v>
      </c>
      <c r="I33" s="50">
        <f t="shared" si="0"/>
        <v>2660.88624</v>
      </c>
      <c r="J33" s="13" t="s">
        <v>34</v>
      </c>
    </row>
    <row r="34" ht="16.5" spans="1:10">
      <c r="A34" s="5">
        <v>30</v>
      </c>
      <c r="B34" s="5" t="s">
        <v>31</v>
      </c>
      <c r="C34" s="156" t="s">
        <v>32</v>
      </c>
      <c r="D34" s="6">
        <v>16</v>
      </c>
      <c r="E34" s="6">
        <v>2010</v>
      </c>
      <c r="F34" s="6">
        <v>10910</v>
      </c>
      <c r="G34" s="8" t="s">
        <v>33</v>
      </c>
      <c r="H34" s="5">
        <v>1</v>
      </c>
      <c r="I34" s="50">
        <f t="shared" si="0"/>
        <v>2754.29496</v>
      </c>
      <c r="J34" s="13" t="s">
        <v>34</v>
      </c>
    </row>
    <row r="35" ht="16.5" spans="1:10">
      <c r="A35" s="5">
        <v>31</v>
      </c>
      <c r="B35" s="5" t="s">
        <v>31</v>
      </c>
      <c r="C35" s="156" t="s">
        <v>32</v>
      </c>
      <c r="D35" s="6">
        <v>16</v>
      </c>
      <c r="E35" s="6">
        <v>1790</v>
      </c>
      <c r="F35" s="6">
        <v>9720</v>
      </c>
      <c r="G35" s="8" t="s">
        <v>33</v>
      </c>
      <c r="H35" s="5">
        <v>1</v>
      </c>
      <c r="I35" s="50">
        <f t="shared" si="0"/>
        <v>2185.28928</v>
      </c>
      <c r="J35" s="13" t="s">
        <v>35</v>
      </c>
    </row>
    <row r="36" ht="16.5" spans="1:10">
      <c r="A36" s="5">
        <v>32</v>
      </c>
      <c r="B36" s="5" t="s">
        <v>31</v>
      </c>
      <c r="C36" s="156" t="s">
        <v>32</v>
      </c>
      <c r="D36" s="6">
        <v>16</v>
      </c>
      <c r="E36" s="6">
        <v>1770</v>
      </c>
      <c r="F36" s="6">
        <v>7430</v>
      </c>
      <c r="G36" s="8" t="s">
        <v>33</v>
      </c>
      <c r="H36" s="5">
        <v>1</v>
      </c>
      <c r="I36" s="50">
        <f t="shared" si="0"/>
        <v>1651.77816</v>
      </c>
      <c r="J36" s="13" t="s">
        <v>35</v>
      </c>
    </row>
    <row r="37" ht="16.5" spans="1:10">
      <c r="A37" s="5">
        <v>33</v>
      </c>
      <c r="B37" s="5" t="s">
        <v>31</v>
      </c>
      <c r="C37" s="156" t="s">
        <v>32</v>
      </c>
      <c r="D37" s="6">
        <v>16</v>
      </c>
      <c r="E37" s="6">
        <v>1760</v>
      </c>
      <c r="F37" s="6">
        <v>8000</v>
      </c>
      <c r="G37" s="8" t="s">
        <v>33</v>
      </c>
      <c r="H37" s="5">
        <v>1</v>
      </c>
      <c r="I37" s="50">
        <f t="shared" si="0"/>
        <v>1768.448</v>
      </c>
      <c r="J37" s="13" t="s">
        <v>35</v>
      </c>
    </row>
    <row r="38" ht="16.5" spans="1:10">
      <c r="A38" s="5">
        <v>34</v>
      </c>
      <c r="B38" s="5" t="s">
        <v>31</v>
      </c>
      <c r="C38" s="156" t="s">
        <v>32</v>
      </c>
      <c r="D38" s="6">
        <v>16</v>
      </c>
      <c r="E38" s="6">
        <v>1660</v>
      </c>
      <c r="F38" s="6">
        <v>7150</v>
      </c>
      <c r="G38" s="8" t="s">
        <v>33</v>
      </c>
      <c r="H38" s="5">
        <v>1</v>
      </c>
      <c r="I38" s="50">
        <f t="shared" si="0"/>
        <v>1490.7464</v>
      </c>
      <c r="J38" s="13" t="s">
        <v>35</v>
      </c>
    </row>
    <row r="39" ht="16.5" spans="1:10">
      <c r="A39" s="5">
        <v>35</v>
      </c>
      <c r="B39" s="5" t="s">
        <v>31</v>
      </c>
      <c r="C39" s="156" t="s">
        <v>32</v>
      </c>
      <c r="D39" s="6">
        <v>16</v>
      </c>
      <c r="E39" s="6">
        <v>1690</v>
      </c>
      <c r="F39" s="6">
        <v>10020</v>
      </c>
      <c r="G39" s="8" t="s">
        <v>33</v>
      </c>
      <c r="H39" s="5">
        <v>1</v>
      </c>
      <c r="I39" s="50">
        <f t="shared" si="0"/>
        <v>2126.88528</v>
      </c>
      <c r="J39" s="13" t="s">
        <v>36</v>
      </c>
    </row>
    <row r="40" ht="16.5" spans="1:10">
      <c r="A40" s="5">
        <v>36</v>
      </c>
      <c r="B40" s="5" t="s">
        <v>31</v>
      </c>
      <c r="C40" s="156" t="s">
        <v>32</v>
      </c>
      <c r="D40" s="6">
        <v>16</v>
      </c>
      <c r="E40" s="6">
        <v>1980</v>
      </c>
      <c r="F40" s="6">
        <v>9820</v>
      </c>
      <c r="G40" s="8" t="s">
        <v>33</v>
      </c>
      <c r="H40" s="5">
        <v>1</v>
      </c>
      <c r="I40" s="50">
        <f t="shared" si="0"/>
        <v>2442.11616</v>
      </c>
      <c r="J40" s="13" t="s">
        <v>36</v>
      </c>
    </row>
    <row r="41" ht="16.5" spans="1:10">
      <c r="A41" s="5">
        <v>37</v>
      </c>
      <c r="B41" s="5" t="s">
        <v>31</v>
      </c>
      <c r="C41" s="156" t="s">
        <v>32</v>
      </c>
      <c r="D41" s="6">
        <v>16</v>
      </c>
      <c r="E41" s="6">
        <v>1990</v>
      </c>
      <c r="F41" s="6">
        <v>8280</v>
      </c>
      <c r="G41" s="8" t="s">
        <v>33</v>
      </c>
      <c r="H41" s="5">
        <v>1</v>
      </c>
      <c r="I41" s="50">
        <f t="shared" si="0"/>
        <v>2069.53632</v>
      </c>
      <c r="J41" s="13" t="s">
        <v>36</v>
      </c>
    </row>
    <row r="42" ht="16.5" spans="1:10">
      <c r="A42" s="5">
        <v>38</v>
      </c>
      <c r="B42" s="5" t="s">
        <v>31</v>
      </c>
      <c r="C42" s="156" t="s">
        <v>32</v>
      </c>
      <c r="D42" s="6">
        <v>16</v>
      </c>
      <c r="E42" s="6">
        <v>1690</v>
      </c>
      <c r="F42" s="6">
        <v>8030</v>
      </c>
      <c r="G42" s="8" t="s">
        <v>33</v>
      </c>
      <c r="H42" s="5">
        <v>1</v>
      </c>
      <c r="I42" s="50">
        <f t="shared" si="0"/>
        <v>1704.47992</v>
      </c>
      <c r="J42" s="13" t="s">
        <v>36</v>
      </c>
    </row>
    <row r="43" ht="16.5" spans="1:10">
      <c r="A43" s="5">
        <v>39</v>
      </c>
      <c r="B43" s="5" t="s">
        <v>31</v>
      </c>
      <c r="C43" s="156" t="s">
        <v>32</v>
      </c>
      <c r="D43" s="6">
        <v>16</v>
      </c>
      <c r="E43" s="6">
        <v>1690</v>
      </c>
      <c r="F43" s="6">
        <v>8030</v>
      </c>
      <c r="G43" s="8" t="s">
        <v>33</v>
      </c>
      <c r="H43" s="5">
        <v>1</v>
      </c>
      <c r="I43" s="50">
        <f t="shared" si="0"/>
        <v>1704.47992</v>
      </c>
      <c r="J43" s="13" t="s">
        <v>36</v>
      </c>
    </row>
    <row r="44" ht="16.5" spans="1:10">
      <c r="A44" s="5">
        <v>40</v>
      </c>
      <c r="B44" s="5" t="s">
        <v>31</v>
      </c>
      <c r="C44" s="156" t="s">
        <v>32</v>
      </c>
      <c r="D44" s="6">
        <v>16</v>
      </c>
      <c r="E44" s="6">
        <v>1930</v>
      </c>
      <c r="F44" s="6">
        <v>7990</v>
      </c>
      <c r="G44" s="8" t="s">
        <v>33</v>
      </c>
      <c r="H44" s="5">
        <v>1</v>
      </c>
      <c r="I44" s="50">
        <f t="shared" si="0"/>
        <v>1936.83992</v>
      </c>
      <c r="J44" s="13" t="s">
        <v>36</v>
      </c>
    </row>
    <row r="45" ht="16.5" spans="1:10">
      <c r="A45" s="5">
        <v>41</v>
      </c>
      <c r="B45" s="5" t="s">
        <v>31</v>
      </c>
      <c r="C45" s="156" t="s">
        <v>32</v>
      </c>
      <c r="D45" s="6">
        <v>16</v>
      </c>
      <c r="E45" s="6">
        <v>1980</v>
      </c>
      <c r="F45" s="6">
        <v>7840</v>
      </c>
      <c r="G45" s="8" t="s">
        <v>33</v>
      </c>
      <c r="H45" s="5">
        <v>1</v>
      </c>
      <c r="I45" s="50">
        <f t="shared" si="0"/>
        <v>1949.71392</v>
      </c>
      <c r="J45" s="13" t="s">
        <v>36</v>
      </c>
    </row>
    <row r="46" ht="16.5" spans="1:10">
      <c r="A46" s="5">
        <v>42</v>
      </c>
      <c r="B46" s="5" t="s">
        <v>31</v>
      </c>
      <c r="C46" s="156" t="s">
        <v>32</v>
      </c>
      <c r="D46" s="6">
        <v>16</v>
      </c>
      <c r="E46" s="6">
        <v>1700</v>
      </c>
      <c r="F46" s="6">
        <v>7690</v>
      </c>
      <c r="G46" s="8" t="s">
        <v>33</v>
      </c>
      <c r="H46" s="5">
        <v>1</v>
      </c>
      <c r="I46" s="50">
        <f t="shared" si="0"/>
        <v>1641.9688</v>
      </c>
      <c r="J46" s="13" t="s">
        <v>36</v>
      </c>
    </row>
    <row r="47" ht="16.5" spans="1:10">
      <c r="A47" s="5">
        <v>43</v>
      </c>
      <c r="B47" s="5" t="s">
        <v>31</v>
      </c>
      <c r="C47" s="156" t="s">
        <v>32</v>
      </c>
      <c r="D47" s="6">
        <v>16</v>
      </c>
      <c r="E47" s="6">
        <v>1690</v>
      </c>
      <c r="F47" s="6">
        <v>7630</v>
      </c>
      <c r="G47" s="8" t="s">
        <v>33</v>
      </c>
      <c r="H47" s="5">
        <v>1</v>
      </c>
      <c r="I47" s="50">
        <f t="shared" si="0"/>
        <v>1619.57432</v>
      </c>
      <c r="J47" s="13" t="s">
        <v>36</v>
      </c>
    </row>
    <row r="48" ht="16.5" spans="1:10">
      <c r="A48" s="5">
        <v>44</v>
      </c>
      <c r="B48" s="5" t="s">
        <v>31</v>
      </c>
      <c r="C48" s="156" t="s">
        <v>32</v>
      </c>
      <c r="D48" s="6">
        <v>16</v>
      </c>
      <c r="E48" s="6">
        <v>1980</v>
      </c>
      <c r="F48" s="6">
        <v>7670</v>
      </c>
      <c r="G48" s="8" t="s">
        <v>33</v>
      </c>
      <c r="H48" s="5">
        <v>1</v>
      </c>
      <c r="I48" s="50">
        <f t="shared" si="0"/>
        <v>1907.43696</v>
      </c>
      <c r="J48" s="13" t="s">
        <v>36</v>
      </c>
    </row>
    <row r="49" ht="16.5" spans="1:10">
      <c r="A49" s="5">
        <v>45</v>
      </c>
      <c r="B49" s="5" t="s">
        <v>31</v>
      </c>
      <c r="C49" s="156" t="s">
        <v>32</v>
      </c>
      <c r="D49" s="6">
        <v>16</v>
      </c>
      <c r="E49" s="6">
        <v>1910</v>
      </c>
      <c r="F49" s="6">
        <v>7630</v>
      </c>
      <c r="G49" s="8" t="s">
        <v>33</v>
      </c>
      <c r="H49" s="5">
        <v>1</v>
      </c>
      <c r="I49" s="50">
        <f t="shared" si="0"/>
        <v>1830.40648</v>
      </c>
      <c r="J49" s="13" t="s">
        <v>36</v>
      </c>
    </row>
    <row r="50" ht="16.5" spans="1:10">
      <c r="A50" s="5">
        <v>46</v>
      </c>
      <c r="B50" s="5" t="s">
        <v>31</v>
      </c>
      <c r="C50" s="156" t="s">
        <v>32</v>
      </c>
      <c r="D50" s="6">
        <v>16</v>
      </c>
      <c r="E50" s="6">
        <v>1930</v>
      </c>
      <c r="F50" s="6">
        <v>7270</v>
      </c>
      <c r="G50" s="8" t="s">
        <v>33</v>
      </c>
      <c r="H50" s="5">
        <v>1</v>
      </c>
      <c r="I50" s="50">
        <f t="shared" si="0"/>
        <v>1762.30616</v>
      </c>
      <c r="J50" s="13" t="s">
        <v>36</v>
      </c>
    </row>
    <row r="51" ht="16.5" spans="1:10">
      <c r="A51" s="5">
        <v>54</v>
      </c>
      <c r="B51" s="5" t="s">
        <v>31</v>
      </c>
      <c r="C51" s="156" t="s">
        <v>32</v>
      </c>
      <c r="D51" s="6">
        <v>12</v>
      </c>
      <c r="E51" s="6">
        <v>1960</v>
      </c>
      <c r="F51" s="6">
        <v>8540</v>
      </c>
      <c r="G51" s="8" t="s">
        <v>33</v>
      </c>
      <c r="H51" s="5">
        <v>1</v>
      </c>
      <c r="I51" s="50">
        <f t="shared" si="0"/>
        <v>1576.75728</v>
      </c>
      <c r="J51" s="13" t="s">
        <v>15</v>
      </c>
    </row>
    <row r="52" ht="16.5" spans="1:10">
      <c r="A52" s="5">
        <v>55</v>
      </c>
      <c r="B52" s="5" t="s">
        <v>31</v>
      </c>
      <c r="C52" s="156" t="s">
        <v>32</v>
      </c>
      <c r="D52" s="6">
        <v>12</v>
      </c>
      <c r="E52" s="6">
        <v>1950</v>
      </c>
      <c r="F52" s="6">
        <v>10030</v>
      </c>
      <c r="G52" s="8" t="s">
        <v>33</v>
      </c>
      <c r="H52" s="5">
        <v>1</v>
      </c>
      <c r="I52" s="50">
        <f t="shared" si="0"/>
        <v>1842.4107</v>
      </c>
      <c r="J52" s="13" t="s">
        <v>16</v>
      </c>
    </row>
    <row r="53" ht="16.5" spans="1:10">
      <c r="A53" s="5">
        <v>56</v>
      </c>
      <c r="B53" s="5" t="s">
        <v>31</v>
      </c>
      <c r="C53" s="156" t="s">
        <v>32</v>
      </c>
      <c r="D53" s="6">
        <v>12</v>
      </c>
      <c r="E53" s="6">
        <v>1680</v>
      </c>
      <c r="F53" s="6">
        <v>11450</v>
      </c>
      <c r="G53" s="8" t="s">
        <v>33</v>
      </c>
      <c r="H53" s="5">
        <v>1</v>
      </c>
      <c r="I53" s="50">
        <f t="shared" si="0"/>
        <v>1812.0312</v>
      </c>
      <c r="J53" s="13" t="s">
        <v>17</v>
      </c>
    </row>
    <row r="54" ht="16.5" spans="1:10">
      <c r="A54" s="5">
        <v>57</v>
      </c>
      <c r="B54" s="5" t="s">
        <v>31</v>
      </c>
      <c r="C54" s="156" t="s">
        <v>32</v>
      </c>
      <c r="D54" s="6">
        <v>16</v>
      </c>
      <c r="E54" s="6">
        <v>1950</v>
      </c>
      <c r="F54" s="6">
        <f>(146720+1000)/4/4</f>
        <v>9232.5</v>
      </c>
      <c r="G54" s="8" t="s">
        <v>33</v>
      </c>
      <c r="H54" s="5">
        <v>4</v>
      </c>
      <c r="I54" s="50">
        <f t="shared" si="0"/>
        <v>9044.8956</v>
      </c>
      <c r="J54" s="13" t="s">
        <v>19</v>
      </c>
    </row>
    <row r="55" ht="16.5" spans="1:10">
      <c r="A55" s="5">
        <v>58</v>
      </c>
      <c r="B55" s="5" t="s">
        <v>31</v>
      </c>
      <c r="C55" s="156" t="s">
        <v>32</v>
      </c>
      <c r="D55" s="6">
        <v>16</v>
      </c>
      <c r="E55" s="60">
        <v>1720</v>
      </c>
      <c r="F55" s="50">
        <f>(293440+2000)/5/6</f>
        <v>9848</v>
      </c>
      <c r="G55" s="8" t="s">
        <v>33</v>
      </c>
      <c r="H55" s="5">
        <v>6</v>
      </c>
      <c r="I55" s="50">
        <f t="shared" si="0"/>
        <v>12764.898816</v>
      </c>
      <c r="J55" s="13" t="s">
        <v>14</v>
      </c>
    </row>
    <row r="56" ht="16.5" spans="1:10">
      <c r="A56" s="5">
        <v>59</v>
      </c>
      <c r="B56" s="5" t="s">
        <v>31</v>
      </c>
      <c r="C56" s="156" t="s">
        <v>37</v>
      </c>
      <c r="D56" s="6">
        <v>16</v>
      </c>
      <c r="E56" s="6">
        <v>1800</v>
      </c>
      <c r="F56" s="6">
        <v>7570</v>
      </c>
      <c r="G56" s="8" t="s">
        <v>33</v>
      </c>
      <c r="H56" s="5">
        <v>1</v>
      </c>
      <c r="I56" s="157">
        <f t="shared" si="0"/>
        <v>1711.4256</v>
      </c>
      <c r="J56" s="13" t="s">
        <v>38</v>
      </c>
    </row>
    <row r="57" ht="16.5" spans="1:10">
      <c r="A57" s="5">
        <v>60</v>
      </c>
      <c r="B57" s="5" t="s">
        <v>31</v>
      </c>
      <c r="C57" s="156" t="s">
        <v>39</v>
      </c>
      <c r="D57" s="6">
        <v>16</v>
      </c>
      <c r="E57" s="6">
        <v>1990</v>
      </c>
      <c r="F57" s="6">
        <v>6030</v>
      </c>
      <c r="G57" s="8" t="s">
        <v>33</v>
      </c>
      <c r="H57" s="5">
        <v>1</v>
      </c>
      <c r="I57" s="157">
        <f t="shared" si="0"/>
        <v>1507.16232</v>
      </c>
      <c r="J57" s="13" t="s">
        <v>38</v>
      </c>
    </row>
    <row r="58" ht="16.5" spans="1:12">
      <c r="A58" s="5" t="s">
        <v>40</v>
      </c>
      <c r="B58" s="5"/>
      <c r="C58" s="5"/>
      <c r="D58" s="5"/>
      <c r="E58" s="5"/>
      <c r="F58" s="5"/>
      <c r="G58" s="5"/>
      <c r="H58" s="5"/>
      <c r="I58" s="50">
        <f>SUM(I5:I57)</f>
        <v>118581.564316</v>
      </c>
      <c r="J58" s="13"/>
      <c r="K58">
        <v>113303.68</v>
      </c>
      <c r="L58">
        <f>(I58-K58)/K58</f>
        <v>0.0465817554734322</v>
      </c>
    </row>
    <row r="59" ht="16.5" spans="1:10">
      <c r="A59" s="22" t="s">
        <v>41</v>
      </c>
      <c r="B59" s="22"/>
      <c r="C59" s="22"/>
      <c r="D59" s="22"/>
      <c r="E59" s="22"/>
      <c r="F59" s="22"/>
      <c r="G59" s="22"/>
      <c r="H59" s="22"/>
      <c r="I59" s="22"/>
      <c r="J59" s="22"/>
    </row>
    <row r="60" ht="16.5" spans="1:10">
      <c r="A60" s="22" t="s">
        <v>49</v>
      </c>
      <c r="B60" s="22"/>
      <c r="C60" s="22"/>
      <c r="D60" s="22"/>
      <c r="E60" s="22"/>
      <c r="F60" s="22"/>
      <c r="G60" s="22"/>
      <c r="H60" s="22"/>
      <c r="I60" s="22"/>
      <c r="J60" s="22"/>
    </row>
    <row r="61" ht="16.5" spans="1:10">
      <c r="A61" s="16" t="s">
        <v>43</v>
      </c>
      <c r="B61" s="16"/>
      <c r="C61" s="16"/>
      <c r="D61" s="16"/>
      <c r="E61" s="16"/>
      <c r="F61" s="16"/>
      <c r="G61" s="16"/>
      <c r="H61" s="16"/>
      <c r="I61" s="16"/>
      <c r="J61" s="16"/>
    </row>
  </sheetData>
  <autoFilter ref="A4:L61">
    <extLst/>
  </autoFilter>
  <mergeCells count="6">
    <mergeCell ref="A1:J1"/>
    <mergeCell ref="A2:F2"/>
    <mergeCell ref="A58:H58"/>
    <mergeCell ref="A59:J59"/>
    <mergeCell ref="A60:J60"/>
    <mergeCell ref="A61:J61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L98"/>
  <sheetViews>
    <sheetView topLeftCell="A70" workbookViewId="0">
      <selection activeCell="A63" sqref="A63:J66"/>
    </sheetView>
  </sheetViews>
  <sheetFormatPr defaultColWidth="9" defaultRowHeight="13.5"/>
  <cols>
    <col min="4" max="4" width="12.625"/>
    <col min="5" max="5" width="9.375"/>
    <col min="11" max="11" width="12.625"/>
    <col min="12" max="12" width="13.75"/>
  </cols>
  <sheetData>
    <row r="1" ht="22.5" spans="1:10">
      <c r="A1" s="15" t="s">
        <v>20</v>
      </c>
      <c r="B1" s="15"/>
      <c r="C1" s="15"/>
      <c r="D1" s="15"/>
      <c r="E1" s="15"/>
      <c r="F1" s="15"/>
      <c r="G1" s="15"/>
      <c r="H1" s="15"/>
      <c r="I1" s="15"/>
      <c r="J1" s="15"/>
    </row>
    <row r="2" ht="16.5" spans="1:10">
      <c r="A2" s="16" t="s">
        <v>21</v>
      </c>
      <c r="B2" s="17"/>
      <c r="C2" s="17"/>
      <c r="D2" s="17"/>
      <c r="E2" s="17"/>
      <c r="F2" s="17"/>
      <c r="G2" s="17"/>
      <c r="H2" s="17"/>
      <c r="I2" s="17"/>
      <c r="J2" s="26"/>
    </row>
    <row r="3" ht="16.5" spans="1:10">
      <c r="A3" s="18" t="s">
        <v>50</v>
      </c>
      <c r="B3" s="19"/>
      <c r="C3" s="19"/>
      <c r="D3" s="17"/>
      <c r="E3" s="19"/>
      <c r="F3" s="19"/>
      <c r="G3" s="17"/>
      <c r="H3" s="17"/>
      <c r="I3" s="26"/>
      <c r="J3" s="26"/>
    </row>
    <row r="4" ht="15" spans="1:10">
      <c r="A4" s="1" t="s">
        <v>23</v>
      </c>
      <c r="B4" s="1" t="s">
        <v>0</v>
      </c>
      <c r="C4" s="2" t="s">
        <v>24</v>
      </c>
      <c r="D4" s="2" t="s">
        <v>25</v>
      </c>
      <c r="E4" s="2" t="s">
        <v>26</v>
      </c>
      <c r="F4" s="2" t="s">
        <v>27</v>
      </c>
      <c r="G4" s="3" t="s">
        <v>28</v>
      </c>
      <c r="H4" s="2" t="s">
        <v>3</v>
      </c>
      <c r="I4" s="11" t="s">
        <v>29</v>
      </c>
      <c r="J4" s="11" t="s">
        <v>30</v>
      </c>
    </row>
    <row r="5" ht="16.5" spans="1:10">
      <c r="A5" s="5">
        <v>1</v>
      </c>
      <c r="B5" s="5" t="s">
        <v>31</v>
      </c>
      <c r="C5" s="156" t="s">
        <v>32</v>
      </c>
      <c r="D5" s="6">
        <v>16</v>
      </c>
      <c r="E5" s="6">
        <v>2005</v>
      </c>
      <c r="F5" s="6">
        <v>9700</v>
      </c>
      <c r="G5" s="8" t="s">
        <v>33</v>
      </c>
      <c r="H5" s="5">
        <v>1</v>
      </c>
      <c r="I5" s="157">
        <f t="shared" ref="I5:I68" si="0">D5*E5*F5*H5*7.85/1000000</f>
        <v>2442.7316</v>
      </c>
      <c r="J5" s="13" t="s">
        <v>11</v>
      </c>
    </row>
    <row r="6" ht="16.5" spans="1:10">
      <c r="A6" s="5">
        <v>2</v>
      </c>
      <c r="B6" s="5" t="s">
        <v>31</v>
      </c>
      <c r="C6" s="156" t="s">
        <v>32</v>
      </c>
      <c r="D6" s="6">
        <v>16</v>
      </c>
      <c r="E6" s="6">
        <v>1805</v>
      </c>
      <c r="F6" s="6">
        <v>9700</v>
      </c>
      <c r="G6" s="8" t="s">
        <v>33</v>
      </c>
      <c r="H6" s="5">
        <v>1</v>
      </c>
      <c r="I6" s="157">
        <f t="shared" si="0"/>
        <v>2199.0676</v>
      </c>
      <c r="J6" s="13" t="s">
        <v>11</v>
      </c>
    </row>
    <row r="7" ht="16.5" spans="1:10">
      <c r="A7" s="5">
        <v>3</v>
      </c>
      <c r="B7" s="5" t="s">
        <v>31</v>
      </c>
      <c r="C7" s="156" t="s">
        <v>32</v>
      </c>
      <c r="D7" s="6">
        <v>16</v>
      </c>
      <c r="E7" s="6">
        <v>2005</v>
      </c>
      <c r="F7" s="6">
        <v>7420</v>
      </c>
      <c r="G7" s="8" t="s">
        <v>33</v>
      </c>
      <c r="H7" s="5">
        <v>1</v>
      </c>
      <c r="I7" s="157">
        <f t="shared" si="0"/>
        <v>1868.56376</v>
      </c>
      <c r="J7" s="13" t="s">
        <v>11</v>
      </c>
    </row>
    <row r="8" ht="16.5" spans="1:10">
      <c r="A8" s="5">
        <v>4</v>
      </c>
      <c r="B8" s="5" t="s">
        <v>31</v>
      </c>
      <c r="C8" s="156" t="s">
        <v>32</v>
      </c>
      <c r="D8" s="6">
        <v>16</v>
      </c>
      <c r="E8" s="6">
        <v>2005</v>
      </c>
      <c r="F8" s="6">
        <v>7420</v>
      </c>
      <c r="G8" s="8" t="s">
        <v>33</v>
      </c>
      <c r="H8" s="5">
        <v>1</v>
      </c>
      <c r="I8" s="157">
        <f t="shared" si="0"/>
        <v>1868.56376</v>
      </c>
      <c r="J8" s="13" t="s">
        <v>11</v>
      </c>
    </row>
    <row r="9" ht="16.5" spans="1:10">
      <c r="A9" s="5">
        <v>5</v>
      </c>
      <c r="B9" s="5" t="s">
        <v>31</v>
      </c>
      <c r="C9" s="156" t="s">
        <v>32</v>
      </c>
      <c r="D9" s="6">
        <v>16</v>
      </c>
      <c r="E9" s="6">
        <v>2005</v>
      </c>
      <c r="F9" s="6">
        <v>7420</v>
      </c>
      <c r="G9" s="8" t="s">
        <v>33</v>
      </c>
      <c r="H9" s="5">
        <v>1</v>
      </c>
      <c r="I9" s="157">
        <f t="shared" si="0"/>
        <v>1868.56376</v>
      </c>
      <c r="J9" s="13" t="s">
        <v>11</v>
      </c>
    </row>
    <row r="10" ht="16.5" spans="1:10">
      <c r="A10" s="5">
        <v>6</v>
      </c>
      <c r="B10" s="5" t="s">
        <v>31</v>
      </c>
      <c r="C10" s="156" t="s">
        <v>32</v>
      </c>
      <c r="D10" s="6">
        <v>16</v>
      </c>
      <c r="E10" s="6">
        <v>2005</v>
      </c>
      <c r="F10" s="6">
        <v>7420</v>
      </c>
      <c r="G10" s="8" t="s">
        <v>33</v>
      </c>
      <c r="H10" s="5">
        <v>1</v>
      </c>
      <c r="I10" s="157">
        <f t="shared" si="0"/>
        <v>1868.56376</v>
      </c>
      <c r="J10" s="13" t="s">
        <v>11</v>
      </c>
    </row>
    <row r="11" ht="16.5" spans="1:10">
      <c r="A11" s="5">
        <v>7</v>
      </c>
      <c r="B11" s="5" t="s">
        <v>31</v>
      </c>
      <c r="C11" s="156" t="s">
        <v>32</v>
      </c>
      <c r="D11" s="6">
        <v>16</v>
      </c>
      <c r="E11" s="6">
        <v>2005</v>
      </c>
      <c r="F11" s="6">
        <v>7420</v>
      </c>
      <c r="G11" s="8" t="s">
        <v>33</v>
      </c>
      <c r="H11" s="5">
        <v>1</v>
      </c>
      <c r="I11" s="157">
        <f t="shared" si="0"/>
        <v>1868.56376</v>
      </c>
      <c r="J11" s="13" t="s">
        <v>11</v>
      </c>
    </row>
    <row r="12" ht="16.5" spans="1:10">
      <c r="A12" s="5">
        <v>8</v>
      </c>
      <c r="B12" s="5" t="s">
        <v>31</v>
      </c>
      <c r="C12" s="156" t="s">
        <v>32</v>
      </c>
      <c r="D12" s="6">
        <v>16</v>
      </c>
      <c r="E12" s="6">
        <v>2005</v>
      </c>
      <c r="F12" s="6">
        <v>7420</v>
      </c>
      <c r="G12" s="8" t="s">
        <v>33</v>
      </c>
      <c r="H12" s="5">
        <v>1</v>
      </c>
      <c r="I12" s="157">
        <f t="shared" si="0"/>
        <v>1868.56376</v>
      </c>
      <c r="J12" s="13" t="s">
        <v>11</v>
      </c>
    </row>
    <row r="13" ht="16.5" spans="1:10">
      <c r="A13" s="5">
        <v>9</v>
      </c>
      <c r="B13" s="5" t="s">
        <v>31</v>
      </c>
      <c r="C13" s="156" t="s">
        <v>32</v>
      </c>
      <c r="D13" s="6">
        <v>16</v>
      </c>
      <c r="E13" s="6">
        <v>2005</v>
      </c>
      <c r="F13" s="6">
        <v>7420</v>
      </c>
      <c r="G13" s="8" t="s">
        <v>33</v>
      </c>
      <c r="H13" s="5">
        <v>1</v>
      </c>
      <c r="I13" s="157">
        <f t="shared" si="0"/>
        <v>1868.56376</v>
      </c>
      <c r="J13" s="13" t="s">
        <v>11</v>
      </c>
    </row>
    <row r="14" ht="16.5" spans="1:10">
      <c r="A14" s="5">
        <v>10</v>
      </c>
      <c r="B14" s="5" t="s">
        <v>31</v>
      </c>
      <c r="C14" s="156" t="s">
        <v>32</v>
      </c>
      <c r="D14" s="6">
        <v>16</v>
      </c>
      <c r="E14" s="6">
        <v>1950</v>
      </c>
      <c r="F14" s="6">
        <v>7710</v>
      </c>
      <c r="G14" s="8" t="s">
        <v>33</v>
      </c>
      <c r="H14" s="5">
        <v>1</v>
      </c>
      <c r="I14" s="157">
        <f t="shared" si="0"/>
        <v>1888.3332</v>
      </c>
      <c r="J14" s="13" t="s">
        <v>11</v>
      </c>
    </row>
    <row r="15" ht="16.5" spans="1:10">
      <c r="A15" s="5">
        <v>11</v>
      </c>
      <c r="B15" s="5" t="s">
        <v>31</v>
      </c>
      <c r="C15" s="156" t="s">
        <v>32</v>
      </c>
      <c r="D15" s="6">
        <v>16</v>
      </c>
      <c r="E15" s="6">
        <v>2005</v>
      </c>
      <c r="F15" s="6">
        <v>7140</v>
      </c>
      <c r="G15" s="8" t="s">
        <v>33</v>
      </c>
      <c r="H15" s="5">
        <v>1</v>
      </c>
      <c r="I15" s="157">
        <f t="shared" si="0"/>
        <v>1798.05192</v>
      </c>
      <c r="J15" s="13" t="s">
        <v>11</v>
      </c>
    </row>
    <row r="16" ht="16.5" spans="1:10">
      <c r="A16" s="5">
        <v>12</v>
      </c>
      <c r="B16" s="5" t="s">
        <v>31</v>
      </c>
      <c r="C16" s="156" t="s">
        <v>32</v>
      </c>
      <c r="D16" s="6">
        <v>16</v>
      </c>
      <c r="E16" s="6">
        <v>2000</v>
      </c>
      <c r="F16" s="6">
        <v>7420</v>
      </c>
      <c r="G16" s="8" t="s">
        <v>33</v>
      </c>
      <c r="H16" s="5">
        <v>1</v>
      </c>
      <c r="I16" s="157">
        <f t="shared" si="0"/>
        <v>1863.904</v>
      </c>
      <c r="J16" s="13" t="s">
        <v>11</v>
      </c>
    </row>
    <row r="17" ht="16.5" spans="1:10">
      <c r="A17" s="5">
        <v>13</v>
      </c>
      <c r="B17" s="5" t="s">
        <v>31</v>
      </c>
      <c r="C17" s="156" t="s">
        <v>32</v>
      </c>
      <c r="D17" s="6">
        <v>16</v>
      </c>
      <c r="E17" s="6">
        <v>2000</v>
      </c>
      <c r="F17" s="6">
        <v>7420</v>
      </c>
      <c r="G17" s="8" t="s">
        <v>33</v>
      </c>
      <c r="H17" s="5">
        <v>1</v>
      </c>
      <c r="I17" s="157">
        <f t="shared" si="0"/>
        <v>1863.904</v>
      </c>
      <c r="J17" s="13" t="s">
        <v>11</v>
      </c>
    </row>
    <row r="18" ht="16.5" spans="1:10">
      <c r="A18" s="5">
        <v>14</v>
      </c>
      <c r="B18" s="5" t="s">
        <v>31</v>
      </c>
      <c r="C18" s="156" t="s">
        <v>32</v>
      </c>
      <c r="D18" s="6">
        <v>16</v>
      </c>
      <c r="E18" s="6">
        <v>2000</v>
      </c>
      <c r="F18" s="6">
        <v>7420</v>
      </c>
      <c r="G18" s="8" t="s">
        <v>33</v>
      </c>
      <c r="H18" s="5">
        <v>1</v>
      </c>
      <c r="I18" s="157">
        <f t="shared" si="0"/>
        <v>1863.904</v>
      </c>
      <c r="J18" s="13" t="s">
        <v>11</v>
      </c>
    </row>
    <row r="19" ht="16.5" spans="1:10">
      <c r="A19" s="5">
        <v>15</v>
      </c>
      <c r="B19" s="5" t="s">
        <v>31</v>
      </c>
      <c r="C19" s="156" t="s">
        <v>32</v>
      </c>
      <c r="D19" s="6">
        <v>16</v>
      </c>
      <c r="E19" s="6">
        <v>1940</v>
      </c>
      <c r="F19" s="6">
        <v>7660</v>
      </c>
      <c r="G19" s="8" t="s">
        <v>33</v>
      </c>
      <c r="H19" s="5">
        <v>1</v>
      </c>
      <c r="I19" s="157">
        <f t="shared" si="0"/>
        <v>1866.46624</v>
      </c>
      <c r="J19" s="13" t="s">
        <v>11</v>
      </c>
    </row>
    <row r="20" ht="16.5" spans="1:10">
      <c r="A20" s="5">
        <v>16</v>
      </c>
      <c r="B20" s="5" t="s">
        <v>31</v>
      </c>
      <c r="C20" s="156" t="s">
        <v>32</v>
      </c>
      <c r="D20" s="6">
        <v>16</v>
      </c>
      <c r="E20" s="6">
        <v>2000</v>
      </c>
      <c r="F20" s="6">
        <v>7420</v>
      </c>
      <c r="G20" s="8" t="s">
        <v>33</v>
      </c>
      <c r="H20" s="5">
        <v>1</v>
      </c>
      <c r="I20" s="157">
        <f t="shared" si="0"/>
        <v>1863.904</v>
      </c>
      <c r="J20" s="13" t="s">
        <v>11</v>
      </c>
    </row>
    <row r="21" ht="16.5" spans="1:10">
      <c r="A21" s="5">
        <v>17</v>
      </c>
      <c r="B21" s="5" t="s">
        <v>31</v>
      </c>
      <c r="C21" s="156" t="s">
        <v>32</v>
      </c>
      <c r="D21" s="6">
        <v>16</v>
      </c>
      <c r="E21" s="6">
        <v>1900</v>
      </c>
      <c r="F21" s="6">
        <v>7610</v>
      </c>
      <c r="G21" s="8" t="s">
        <v>33</v>
      </c>
      <c r="H21" s="5">
        <v>1</v>
      </c>
      <c r="I21" s="157">
        <f t="shared" si="0"/>
        <v>1816.0504</v>
      </c>
      <c r="J21" s="13" t="s">
        <v>11</v>
      </c>
    </row>
    <row r="22" ht="16.5" spans="1:10">
      <c r="A22" s="5">
        <v>18</v>
      </c>
      <c r="B22" s="5" t="s">
        <v>31</v>
      </c>
      <c r="C22" s="156" t="s">
        <v>32</v>
      </c>
      <c r="D22" s="6">
        <v>16</v>
      </c>
      <c r="E22" s="6">
        <v>1900</v>
      </c>
      <c r="F22" s="6">
        <v>7600</v>
      </c>
      <c r="G22" s="8" t="s">
        <v>33</v>
      </c>
      <c r="H22" s="5">
        <v>1</v>
      </c>
      <c r="I22" s="157">
        <f t="shared" si="0"/>
        <v>1813.664</v>
      </c>
      <c r="J22" s="13" t="s">
        <v>11</v>
      </c>
    </row>
    <row r="23" ht="16.5" spans="1:10">
      <c r="A23" s="5">
        <v>19</v>
      </c>
      <c r="B23" s="5" t="s">
        <v>31</v>
      </c>
      <c r="C23" s="156" t="s">
        <v>32</v>
      </c>
      <c r="D23" s="6">
        <v>16</v>
      </c>
      <c r="E23" s="6">
        <v>1860</v>
      </c>
      <c r="F23" s="6">
        <v>7530</v>
      </c>
      <c r="G23" s="8" t="s">
        <v>33</v>
      </c>
      <c r="H23" s="5">
        <v>1</v>
      </c>
      <c r="I23" s="157">
        <f t="shared" si="0"/>
        <v>1759.12848</v>
      </c>
      <c r="J23" s="13" t="s">
        <v>11</v>
      </c>
    </row>
    <row r="24" ht="16.5" spans="1:10">
      <c r="A24" s="5">
        <v>20</v>
      </c>
      <c r="B24" s="5" t="s">
        <v>31</v>
      </c>
      <c r="C24" s="156" t="s">
        <v>32</v>
      </c>
      <c r="D24" s="6">
        <v>16</v>
      </c>
      <c r="E24" s="6">
        <v>1840</v>
      </c>
      <c r="F24" s="6">
        <v>7490</v>
      </c>
      <c r="G24" s="8" t="s">
        <v>33</v>
      </c>
      <c r="H24" s="5">
        <v>1</v>
      </c>
      <c r="I24" s="157">
        <f t="shared" si="0"/>
        <v>1730.96896</v>
      </c>
      <c r="J24" s="13" t="s">
        <v>11</v>
      </c>
    </row>
    <row r="25" ht="16.5" spans="1:10">
      <c r="A25" s="5">
        <v>21</v>
      </c>
      <c r="B25" s="5" t="s">
        <v>31</v>
      </c>
      <c r="C25" s="156" t="s">
        <v>32</v>
      </c>
      <c r="D25" s="6">
        <v>16</v>
      </c>
      <c r="E25" s="6">
        <v>1805</v>
      </c>
      <c r="F25" s="6">
        <v>7420</v>
      </c>
      <c r="G25" s="8" t="s">
        <v>33</v>
      </c>
      <c r="H25" s="5">
        <v>1</v>
      </c>
      <c r="I25" s="157">
        <f t="shared" si="0"/>
        <v>1682.17336</v>
      </c>
      <c r="J25" s="13" t="s">
        <v>11</v>
      </c>
    </row>
    <row r="26" ht="16.5" spans="1:10">
      <c r="A26" s="5">
        <v>22</v>
      </c>
      <c r="B26" s="5" t="s">
        <v>31</v>
      </c>
      <c r="C26" s="156" t="s">
        <v>32</v>
      </c>
      <c r="D26" s="6">
        <v>16</v>
      </c>
      <c r="E26" s="6">
        <v>1805</v>
      </c>
      <c r="F26" s="6">
        <v>7420</v>
      </c>
      <c r="G26" s="8" t="s">
        <v>33</v>
      </c>
      <c r="H26" s="5">
        <v>1</v>
      </c>
      <c r="I26" s="157">
        <f t="shared" si="0"/>
        <v>1682.17336</v>
      </c>
      <c r="J26" s="13" t="s">
        <v>11</v>
      </c>
    </row>
    <row r="27" ht="16.5" spans="1:10">
      <c r="A27" s="5">
        <v>23</v>
      </c>
      <c r="B27" s="5" t="s">
        <v>31</v>
      </c>
      <c r="C27" s="156" t="s">
        <v>32</v>
      </c>
      <c r="D27" s="6">
        <v>16</v>
      </c>
      <c r="E27" s="6">
        <v>1805</v>
      </c>
      <c r="F27" s="6">
        <v>7420</v>
      </c>
      <c r="G27" s="8" t="s">
        <v>33</v>
      </c>
      <c r="H27" s="5">
        <v>1</v>
      </c>
      <c r="I27" s="157">
        <f t="shared" si="0"/>
        <v>1682.17336</v>
      </c>
      <c r="J27" s="13" t="s">
        <v>11</v>
      </c>
    </row>
    <row r="28" ht="16.5" spans="1:10">
      <c r="A28" s="5">
        <v>24</v>
      </c>
      <c r="B28" s="5" t="s">
        <v>31</v>
      </c>
      <c r="C28" s="156" t="s">
        <v>32</v>
      </c>
      <c r="D28" s="6">
        <v>16</v>
      </c>
      <c r="E28" s="6">
        <v>1805</v>
      </c>
      <c r="F28" s="6">
        <v>7420</v>
      </c>
      <c r="G28" s="8" t="s">
        <v>33</v>
      </c>
      <c r="H28" s="5">
        <v>1</v>
      </c>
      <c r="I28" s="157">
        <f t="shared" si="0"/>
        <v>1682.17336</v>
      </c>
      <c r="J28" s="13" t="s">
        <v>11</v>
      </c>
    </row>
    <row r="29" ht="16.5" spans="1:10">
      <c r="A29" s="5">
        <v>25</v>
      </c>
      <c r="B29" s="5" t="s">
        <v>31</v>
      </c>
      <c r="C29" s="156" t="s">
        <v>32</v>
      </c>
      <c r="D29" s="6">
        <v>16</v>
      </c>
      <c r="E29" s="6">
        <v>2000</v>
      </c>
      <c r="F29" s="6">
        <v>7430</v>
      </c>
      <c r="G29" s="8" t="s">
        <v>33</v>
      </c>
      <c r="H29" s="5">
        <v>1</v>
      </c>
      <c r="I29" s="157">
        <f t="shared" si="0"/>
        <v>1866.416</v>
      </c>
      <c r="J29" s="13" t="s">
        <v>11</v>
      </c>
    </row>
    <row r="30" ht="16.5" spans="1:10">
      <c r="A30" s="5">
        <v>19</v>
      </c>
      <c r="B30" s="5" t="s">
        <v>31</v>
      </c>
      <c r="C30" s="156" t="s">
        <v>32</v>
      </c>
      <c r="D30" s="6">
        <v>16</v>
      </c>
      <c r="E30" s="6">
        <v>1900</v>
      </c>
      <c r="F30" s="6">
        <v>7600</v>
      </c>
      <c r="G30" s="8" t="s">
        <v>33</v>
      </c>
      <c r="H30" s="5">
        <v>1</v>
      </c>
      <c r="I30" s="157">
        <f t="shared" si="0"/>
        <v>1813.664</v>
      </c>
      <c r="J30" s="13" t="s">
        <v>11</v>
      </c>
    </row>
    <row r="31" ht="16.5" spans="1:10">
      <c r="A31" s="5">
        <v>20</v>
      </c>
      <c r="B31" s="5" t="s">
        <v>31</v>
      </c>
      <c r="C31" s="156" t="s">
        <v>32</v>
      </c>
      <c r="D31" s="6">
        <v>16</v>
      </c>
      <c r="E31" s="6">
        <v>1890</v>
      </c>
      <c r="F31" s="6">
        <v>7600</v>
      </c>
      <c r="G31" s="8" t="s">
        <v>33</v>
      </c>
      <c r="H31" s="5">
        <v>1</v>
      </c>
      <c r="I31" s="157">
        <f t="shared" si="0"/>
        <v>1804.1184</v>
      </c>
      <c r="J31" s="13" t="s">
        <v>11</v>
      </c>
    </row>
    <row r="32" ht="16.5" spans="1:10">
      <c r="A32" s="5">
        <v>21</v>
      </c>
      <c r="B32" s="5" t="s">
        <v>31</v>
      </c>
      <c r="C32" s="156" t="s">
        <v>32</v>
      </c>
      <c r="D32" s="6">
        <v>16</v>
      </c>
      <c r="E32" s="6">
        <v>1860</v>
      </c>
      <c r="F32" s="6">
        <v>7520</v>
      </c>
      <c r="G32" s="8" t="s">
        <v>33</v>
      </c>
      <c r="H32" s="5">
        <v>1</v>
      </c>
      <c r="I32" s="157">
        <f t="shared" si="0"/>
        <v>1756.79232</v>
      </c>
      <c r="J32" s="13" t="s">
        <v>11</v>
      </c>
    </row>
    <row r="33" ht="16.5" spans="1:10">
      <c r="A33" s="5">
        <v>22</v>
      </c>
      <c r="B33" s="5" t="s">
        <v>31</v>
      </c>
      <c r="C33" s="156" t="s">
        <v>32</v>
      </c>
      <c r="D33" s="6">
        <v>16</v>
      </c>
      <c r="E33" s="6">
        <v>1810</v>
      </c>
      <c r="F33" s="6">
        <v>7140</v>
      </c>
      <c r="G33" s="8" t="s">
        <v>33</v>
      </c>
      <c r="H33" s="5">
        <v>1</v>
      </c>
      <c r="I33" s="157">
        <f t="shared" si="0"/>
        <v>1623.17904</v>
      </c>
      <c r="J33" s="13" t="s">
        <v>11</v>
      </c>
    </row>
    <row r="34" ht="16.5" spans="1:10">
      <c r="A34" s="5">
        <v>22</v>
      </c>
      <c r="B34" s="5" t="s">
        <v>31</v>
      </c>
      <c r="C34" s="156" t="s">
        <v>32</v>
      </c>
      <c r="D34" s="6">
        <v>16</v>
      </c>
      <c r="E34" s="6">
        <v>2000</v>
      </c>
      <c r="F34" s="6">
        <v>7420</v>
      </c>
      <c r="G34" s="8" t="s">
        <v>33</v>
      </c>
      <c r="H34" s="5">
        <v>1</v>
      </c>
      <c r="I34" s="157">
        <f t="shared" si="0"/>
        <v>1863.904</v>
      </c>
      <c r="J34" s="13" t="s">
        <v>11</v>
      </c>
    </row>
    <row r="35" ht="16.5" spans="1:10">
      <c r="A35" s="5">
        <v>26</v>
      </c>
      <c r="B35" s="5" t="s">
        <v>31</v>
      </c>
      <c r="C35" s="156" t="s">
        <v>32</v>
      </c>
      <c r="D35" s="6">
        <v>16</v>
      </c>
      <c r="E35" s="6">
        <v>1505</v>
      </c>
      <c r="F35" s="6">
        <v>10000</v>
      </c>
      <c r="G35" s="8" t="s">
        <v>33</v>
      </c>
      <c r="H35" s="5">
        <v>1</v>
      </c>
      <c r="I35" s="157">
        <f t="shared" si="0"/>
        <v>1890.28</v>
      </c>
      <c r="J35" s="13" t="s">
        <v>34</v>
      </c>
    </row>
    <row r="36" ht="16.5" spans="1:10">
      <c r="A36" s="5">
        <v>27</v>
      </c>
      <c r="B36" s="5" t="s">
        <v>31</v>
      </c>
      <c r="C36" s="156" t="s">
        <v>32</v>
      </c>
      <c r="D36" s="6">
        <v>16</v>
      </c>
      <c r="E36" s="6">
        <v>1800</v>
      </c>
      <c r="F36" s="6">
        <v>8140</v>
      </c>
      <c r="G36" s="8" t="s">
        <v>33</v>
      </c>
      <c r="H36" s="5">
        <v>1</v>
      </c>
      <c r="I36" s="157">
        <f t="shared" si="0"/>
        <v>1840.2912</v>
      </c>
      <c r="J36" s="13" t="s">
        <v>34</v>
      </c>
    </row>
    <row r="37" ht="16.5" spans="1:10">
      <c r="A37" s="5">
        <v>28</v>
      </c>
      <c r="B37" s="5" t="s">
        <v>31</v>
      </c>
      <c r="C37" s="156" t="s">
        <v>32</v>
      </c>
      <c r="D37" s="6">
        <v>16</v>
      </c>
      <c r="E37" s="6">
        <v>1800</v>
      </c>
      <c r="F37" s="6">
        <v>8140</v>
      </c>
      <c r="G37" s="8" t="s">
        <v>33</v>
      </c>
      <c r="H37" s="5">
        <v>1</v>
      </c>
      <c r="I37" s="157">
        <f t="shared" si="0"/>
        <v>1840.2912</v>
      </c>
      <c r="J37" s="13" t="s">
        <v>34</v>
      </c>
    </row>
    <row r="38" ht="16.5" spans="1:10">
      <c r="A38" s="5">
        <v>29</v>
      </c>
      <c r="B38" s="5" t="s">
        <v>31</v>
      </c>
      <c r="C38" s="156" t="s">
        <v>32</v>
      </c>
      <c r="D38" s="6">
        <v>16</v>
      </c>
      <c r="E38" s="6">
        <v>1800</v>
      </c>
      <c r="F38" s="6">
        <v>8210</v>
      </c>
      <c r="G38" s="8" t="s">
        <v>33</v>
      </c>
      <c r="H38" s="5">
        <v>1</v>
      </c>
      <c r="I38" s="50">
        <f t="shared" si="0"/>
        <v>1856.1168</v>
      </c>
      <c r="J38" s="13" t="s">
        <v>34</v>
      </c>
    </row>
    <row r="39" ht="16.5" spans="1:10">
      <c r="A39" s="5">
        <v>30</v>
      </c>
      <c r="B39" s="5" t="s">
        <v>31</v>
      </c>
      <c r="C39" s="156" t="s">
        <v>32</v>
      </c>
      <c r="D39" s="6">
        <v>16</v>
      </c>
      <c r="E39" s="6">
        <v>1800</v>
      </c>
      <c r="F39" s="6">
        <v>8050</v>
      </c>
      <c r="G39" s="8" t="s">
        <v>33</v>
      </c>
      <c r="H39" s="5">
        <v>1</v>
      </c>
      <c r="I39" s="50">
        <f t="shared" si="0"/>
        <v>1819.944</v>
      </c>
      <c r="J39" s="13" t="s">
        <v>34</v>
      </c>
    </row>
    <row r="40" ht="16.5" spans="1:10">
      <c r="A40" s="5">
        <v>31</v>
      </c>
      <c r="B40" s="5" t="s">
        <v>31</v>
      </c>
      <c r="C40" s="156" t="s">
        <v>32</v>
      </c>
      <c r="D40" s="6">
        <v>16</v>
      </c>
      <c r="E40" s="6">
        <v>1800</v>
      </c>
      <c r="F40" s="6">
        <v>8040</v>
      </c>
      <c r="G40" s="8" t="s">
        <v>33</v>
      </c>
      <c r="H40" s="5">
        <v>1</v>
      </c>
      <c r="I40" s="50">
        <f t="shared" si="0"/>
        <v>1817.6832</v>
      </c>
      <c r="J40" s="13" t="s">
        <v>34</v>
      </c>
    </row>
    <row r="41" ht="16.5" spans="1:10">
      <c r="A41" s="5">
        <v>32</v>
      </c>
      <c r="B41" s="5" t="s">
        <v>31</v>
      </c>
      <c r="C41" s="156" t="s">
        <v>32</v>
      </c>
      <c r="D41" s="6">
        <v>16</v>
      </c>
      <c r="E41" s="6">
        <v>1800</v>
      </c>
      <c r="F41" s="6">
        <v>8070</v>
      </c>
      <c r="G41" s="8" t="s">
        <v>33</v>
      </c>
      <c r="H41" s="5">
        <v>1</v>
      </c>
      <c r="I41" s="50">
        <f t="shared" si="0"/>
        <v>1824.4656</v>
      </c>
      <c r="J41" s="13" t="s">
        <v>34</v>
      </c>
    </row>
    <row r="42" ht="16.5" spans="1:10">
      <c r="A42" s="5">
        <v>33</v>
      </c>
      <c r="B42" s="5" t="s">
        <v>31</v>
      </c>
      <c r="C42" s="156" t="s">
        <v>32</v>
      </c>
      <c r="D42" s="6">
        <v>16</v>
      </c>
      <c r="E42" s="6">
        <v>1800</v>
      </c>
      <c r="F42" s="6">
        <v>8070</v>
      </c>
      <c r="G42" s="8" t="s">
        <v>33</v>
      </c>
      <c r="H42" s="5">
        <v>1</v>
      </c>
      <c r="I42" s="50">
        <f t="shared" si="0"/>
        <v>1824.4656</v>
      </c>
      <c r="J42" s="13" t="s">
        <v>34</v>
      </c>
    </row>
    <row r="43" ht="16.5" spans="1:10">
      <c r="A43" s="5">
        <v>34</v>
      </c>
      <c r="B43" s="5" t="s">
        <v>31</v>
      </c>
      <c r="C43" s="156" t="s">
        <v>32</v>
      </c>
      <c r="D43" s="6">
        <v>16</v>
      </c>
      <c r="E43" s="6">
        <v>1800</v>
      </c>
      <c r="F43" s="6">
        <v>8080</v>
      </c>
      <c r="G43" s="8" t="s">
        <v>33</v>
      </c>
      <c r="H43" s="5">
        <v>1</v>
      </c>
      <c r="I43" s="50">
        <f t="shared" si="0"/>
        <v>1826.7264</v>
      </c>
      <c r="J43" s="13" t="s">
        <v>34</v>
      </c>
    </row>
    <row r="44" ht="16.5" spans="1:10">
      <c r="A44" s="5">
        <v>35</v>
      </c>
      <c r="B44" s="5" t="s">
        <v>31</v>
      </c>
      <c r="C44" s="156" t="s">
        <v>32</v>
      </c>
      <c r="D44" s="6">
        <v>16</v>
      </c>
      <c r="E44" s="6">
        <v>1540</v>
      </c>
      <c r="F44" s="6">
        <v>8060</v>
      </c>
      <c r="G44" s="8" t="s">
        <v>33</v>
      </c>
      <c r="H44" s="5">
        <v>1</v>
      </c>
      <c r="I44" s="50">
        <f t="shared" si="0"/>
        <v>1558.99744</v>
      </c>
      <c r="J44" s="13" t="s">
        <v>34</v>
      </c>
    </row>
    <row r="45" ht="16.5" spans="1:10">
      <c r="A45" s="5">
        <v>36</v>
      </c>
      <c r="B45" s="5" t="s">
        <v>31</v>
      </c>
      <c r="C45" s="156" t="s">
        <v>32</v>
      </c>
      <c r="D45" s="6">
        <v>16</v>
      </c>
      <c r="E45" s="6">
        <v>1505</v>
      </c>
      <c r="F45" s="6">
        <v>8020</v>
      </c>
      <c r="G45" s="8" t="s">
        <v>33</v>
      </c>
      <c r="H45" s="5">
        <v>1</v>
      </c>
      <c r="I45" s="50">
        <f t="shared" si="0"/>
        <v>1516.00456</v>
      </c>
      <c r="J45" s="13" t="s">
        <v>34</v>
      </c>
    </row>
    <row r="46" ht="16.5" spans="1:10">
      <c r="A46" s="5">
        <v>37</v>
      </c>
      <c r="B46" s="5" t="s">
        <v>31</v>
      </c>
      <c r="C46" s="156" t="s">
        <v>32</v>
      </c>
      <c r="D46" s="6">
        <v>16</v>
      </c>
      <c r="E46" s="6">
        <v>1505</v>
      </c>
      <c r="F46" s="6">
        <v>8020</v>
      </c>
      <c r="G46" s="8" t="s">
        <v>33</v>
      </c>
      <c r="H46" s="5">
        <v>1</v>
      </c>
      <c r="I46" s="50">
        <f t="shared" si="0"/>
        <v>1516.00456</v>
      </c>
      <c r="J46" s="13" t="s">
        <v>34</v>
      </c>
    </row>
    <row r="47" ht="16.5" spans="1:10">
      <c r="A47" s="5">
        <v>38</v>
      </c>
      <c r="B47" s="5" t="s">
        <v>31</v>
      </c>
      <c r="C47" s="156" t="s">
        <v>32</v>
      </c>
      <c r="D47" s="6">
        <v>16</v>
      </c>
      <c r="E47" s="6">
        <v>1505</v>
      </c>
      <c r="F47" s="6">
        <v>8020</v>
      </c>
      <c r="G47" s="8" t="s">
        <v>33</v>
      </c>
      <c r="H47" s="5">
        <v>1</v>
      </c>
      <c r="I47" s="50">
        <f t="shared" si="0"/>
        <v>1516.00456</v>
      </c>
      <c r="J47" s="13" t="s">
        <v>34</v>
      </c>
    </row>
    <row r="48" ht="16.5" spans="1:10">
      <c r="A48" s="5">
        <v>39</v>
      </c>
      <c r="B48" s="5" t="s">
        <v>31</v>
      </c>
      <c r="C48" s="156" t="s">
        <v>32</v>
      </c>
      <c r="D48" s="6">
        <v>16</v>
      </c>
      <c r="E48" s="6">
        <v>1505</v>
      </c>
      <c r="F48" s="6">
        <v>7440</v>
      </c>
      <c r="G48" s="8" t="s">
        <v>33</v>
      </c>
      <c r="H48" s="5">
        <v>1</v>
      </c>
      <c r="I48" s="50">
        <f t="shared" si="0"/>
        <v>1406.36832</v>
      </c>
      <c r="J48" s="13" t="s">
        <v>34</v>
      </c>
    </row>
    <row r="49" ht="16.5" spans="1:10">
      <c r="A49" s="5">
        <v>40</v>
      </c>
      <c r="B49" s="5" t="s">
        <v>31</v>
      </c>
      <c r="C49" s="156" t="s">
        <v>32</v>
      </c>
      <c r="D49" s="6">
        <v>16</v>
      </c>
      <c r="E49" s="6">
        <v>2010</v>
      </c>
      <c r="F49" s="6">
        <v>8020</v>
      </c>
      <c r="G49" s="8" t="s">
        <v>33</v>
      </c>
      <c r="H49" s="5">
        <v>1</v>
      </c>
      <c r="I49" s="50">
        <f t="shared" si="0"/>
        <v>2024.69712</v>
      </c>
      <c r="J49" s="13" t="s">
        <v>34</v>
      </c>
    </row>
    <row r="50" ht="16.5" spans="1:10">
      <c r="A50" s="5">
        <v>41</v>
      </c>
      <c r="B50" s="5" t="s">
        <v>31</v>
      </c>
      <c r="C50" s="156" t="s">
        <v>32</v>
      </c>
      <c r="D50" s="6">
        <v>16</v>
      </c>
      <c r="E50" s="6">
        <v>2010</v>
      </c>
      <c r="F50" s="6">
        <v>8020</v>
      </c>
      <c r="G50" s="8" t="s">
        <v>33</v>
      </c>
      <c r="H50" s="5">
        <v>1</v>
      </c>
      <c r="I50" s="50">
        <f t="shared" si="0"/>
        <v>2024.69712</v>
      </c>
      <c r="J50" s="13" t="s">
        <v>34</v>
      </c>
    </row>
    <row r="51" ht="16.5" spans="1:10">
      <c r="A51" s="5">
        <v>42</v>
      </c>
      <c r="B51" s="5" t="s">
        <v>31</v>
      </c>
      <c r="C51" s="156" t="s">
        <v>32</v>
      </c>
      <c r="D51" s="6">
        <v>16</v>
      </c>
      <c r="E51" s="6">
        <v>2010</v>
      </c>
      <c r="F51" s="6">
        <v>8010</v>
      </c>
      <c r="G51" s="8" t="s">
        <v>33</v>
      </c>
      <c r="H51" s="5">
        <v>1</v>
      </c>
      <c r="I51" s="50">
        <f t="shared" si="0"/>
        <v>2022.17256</v>
      </c>
      <c r="J51" s="13" t="s">
        <v>34</v>
      </c>
    </row>
    <row r="52" ht="16.5" spans="1:10">
      <c r="A52" s="5">
        <v>43</v>
      </c>
      <c r="B52" s="5" t="s">
        <v>31</v>
      </c>
      <c r="C52" s="156" t="s">
        <v>32</v>
      </c>
      <c r="D52" s="6">
        <v>16</v>
      </c>
      <c r="E52" s="6">
        <v>1620</v>
      </c>
      <c r="F52" s="6">
        <v>8140</v>
      </c>
      <c r="G52" s="8" t="s">
        <v>33</v>
      </c>
      <c r="H52" s="5">
        <v>1</v>
      </c>
      <c r="I52" s="50">
        <f t="shared" si="0"/>
        <v>1656.26208</v>
      </c>
      <c r="J52" s="13" t="s">
        <v>34</v>
      </c>
    </row>
    <row r="53" ht="16.5" spans="1:10">
      <c r="A53" s="5">
        <v>44</v>
      </c>
      <c r="B53" s="5" t="s">
        <v>31</v>
      </c>
      <c r="C53" s="156" t="s">
        <v>32</v>
      </c>
      <c r="D53" s="6">
        <v>16</v>
      </c>
      <c r="E53" s="6">
        <v>1530</v>
      </c>
      <c r="F53" s="6">
        <v>8090</v>
      </c>
      <c r="G53" s="8" t="s">
        <v>33</v>
      </c>
      <c r="H53" s="5">
        <v>1</v>
      </c>
      <c r="I53" s="50">
        <f t="shared" si="0"/>
        <v>1554.63912</v>
      </c>
      <c r="J53" s="13" t="s">
        <v>34</v>
      </c>
    </row>
    <row r="54" ht="16.5" spans="1:10">
      <c r="A54" s="5">
        <v>45</v>
      </c>
      <c r="B54" s="5" t="s">
        <v>31</v>
      </c>
      <c r="C54" s="156" t="s">
        <v>32</v>
      </c>
      <c r="D54" s="6">
        <v>16</v>
      </c>
      <c r="E54" s="6">
        <v>1590</v>
      </c>
      <c r="F54" s="6">
        <v>8090</v>
      </c>
      <c r="G54" s="8" t="s">
        <v>33</v>
      </c>
      <c r="H54" s="5">
        <v>1</v>
      </c>
      <c r="I54" s="50">
        <f t="shared" si="0"/>
        <v>1615.60536</v>
      </c>
      <c r="J54" s="13" t="s">
        <v>34</v>
      </c>
    </row>
    <row r="55" ht="16.5" spans="1:10">
      <c r="A55" s="5">
        <v>46</v>
      </c>
      <c r="B55" s="5" t="s">
        <v>31</v>
      </c>
      <c r="C55" s="156" t="s">
        <v>32</v>
      </c>
      <c r="D55" s="6">
        <v>16</v>
      </c>
      <c r="E55" s="6">
        <v>1570</v>
      </c>
      <c r="F55" s="6">
        <v>8170</v>
      </c>
      <c r="G55" s="8" t="s">
        <v>33</v>
      </c>
      <c r="H55" s="5">
        <v>1</v>
      </c>
      <c r="I55" s="50">
        <f t="shared" si="0"/>
        <v>1611.05864</v>
      </c>
      <c r="J55" s="13" t="s">
        <v>34</v>
      </c>
    </row>
    <row r="56" ht="16.5" spans="1:10">
      <c r="A56" s="5">
        <v>45</v>
      </c>
      <c r="B56" s="5" t="s">
        <v>31</v>
      </c>
      <c r="C56" s="156" t="s">
        <v>32</v>
      </c>
      <c r="D56" s="6">
        <v>16</v>
      </c>
      <c r="E56" s="6">
        <v>1510</v>
      </c>
      <c r="F56" s="6">
        <v>8020</v>
      </c>
      <c r="G56" s="8" t="s">
        <v>33</v>
      </c>
      <c r="H56" s="5">
        <v>1</v>
      </c>
      <c r="I56" s="50">
        <f t="shared" si="0"/>
        <v>1521.04112</v>
      </c>
      <c r="J56" s="13" t="s">
        <v>34</v>
      </c>
    </row>
    <row r="57" ht="16.5" spans="1:10">
      <c r="A57" s="5">
        <v>46</v>
      </c>
      <c r="B57" s="5" t="s">
        <v>31</v>
      </c>
      <c r="C57" s="156" t="s">
        <v>32</v>
      </c>
      <c r="D57" s="6">
        <v>16</v>
      </c>
      <c r="E57" s="6">
        <v>2010</v>
      </c>
      <c r="F57" s="6">
        <v>5000</v>
      </c>
      <c r="G57" s="8" t="s">
        <v>33</v>
      </c>
      <c r="H57" s="5">
        <v>1</v>
      </c>
      <c r="I57" s="50">
        <f t="shared" si="0"/>
        <v>1262.28</v>
      </c>
      <c r="J57" s="13" t="s">
        <v>34</v>
      </c>
    </row>
    <row r="58" ht="16.5" spans="1:10">
      <c r="A58" s="5">
        <v>26</v>
      </c>
      <c r="B58" s="5" t="s">
        <v>31</v>
      </c>
      <c r="C58" s="156" t="s">
        <v>32</v>
      </c>
      <c r="D58" s="6">
        <v>16</v>
      </c>
      <c r="E58" s="6">
        <v>1920</v>
      </c>
      <c r="F58" s="6">
        <v>9710</v>
      </c>
      <c r="G58" s="8" t="s">
        <v>33</v>
      </c>
      <c r="H58" s="5">
        <v>1</v>
      </c>
      <c r="I58" s="157">
        <f t="shared" si="0"/>
        <v>2341.58592</v>
      </c>
      <c r="J58" s="13" t="s">
        <v>35</v>
      </c>
    </row>
    <row r="59" ht="16.5" spans="1:10">
      <c r="A59" s="5">
        <v>27</v>
      </c>
      <c r="B59" s="5" t="s">
        <v>31</v>
      </c>
      <c r="C59" s="156" t="s">
        <v>32</v>
      </c>
      <c r="D59" s="6">
        <v>16</v>
      </c>
      <c r="E59" s="6">
        <v>1910</v>
      </c>
      <c r="F59" s="6">
        <v>7689.99999999999</v>
      </c>
      <c r="G59" s="8" t="s">
        <v>33</v>
      </c>
      <c r="H59" s="5">
        <v>1</v>
      </c>
      <c r="I59" s="157">
        <f t="shared" si="0"/>
        <v>1844.80024</v>
      </c>
      <c r="J59" s="13" t="s">
        <v>35</v>
      </c>
    </row>
    <row r="60" ht="16.5" spans="1:10">
      <c r="A60" s="5">
        <v>28</v>
      </c>
      <c r="B60" s="5" t="s">
        <v>31</v>
      </c>
      <c r="C60" s="156" t="s">
        <v>32</v>
      </c>
      <c r="D60" s="6">
        <v>16</v>
      </c>
      <c r="E60" s="6">
        <v>1780</v>
      </c>
      <c r="F60" s="6">
        <v>7430</v>
      </c>
      <c r="G60" s="8" t="s">
        <v>33</v>
      </c>
      <c r="H60" s="5">
        <v>1</v>
      </c>
      <c r="I60" s="157">
        <f t="shared" si="0"/>
        <v>1661.11024</v>
      </c>
      <c r="J60" s="13" t="s">
        <v>35</v>
      </c>
    </row>
    <row r="61" ht="16.5" spans="1:10">
      <c r="A61" s="5">
        <v>29</v>
      </c>
      <c r="B61" s="5" t="s">
        <v>31</v>
      </c>
      <c r="C61" s="156" t="s">
        <v>32</v>
      </c>
      <c r="D61" s="6">
        <v>16</v>
      </c>
      <c r="E61" s="6">
        <v>1800</v>
      </c>
      <c r="F61" s="6">
        <v>7420</v>
      </c>
      <c r="G61" s="8" t="s">
        <v>33</v>
      </c>
      <c r="H61" s="5">
        <v>1</v>
      </c>
      <c r="I61" s="50">
        <f t="shared" si="0"/>
        <v>1677.5136</v>
      </c>
      <c r="J61" s="13" t="s">
        <v>35</v>
      </c>
    </row>
    <row r="62" ht="16.5" spans="1:10">
      <c r="A62" s="5">
        <v>30</v>
      </c>
      <c r="B62" s="5" t="s">
        <v>31</v>
      </c>
      <c r="C62" s="156" t="s">
        <v>32</v>
      </c>
      <c r="D62" s="6">
        <v>16</v>
      </c>
      <c r="E62" s="6">
        <v>1900</v>
      </c>
      <c r="F62" s="6">
        <v>7310</v>
      </c>
      <c r="G62" s="8" t="s">
        <v>33</v>
      </c>
      <c r="H62" s="5">
        <v>1</v>
      </c>
      <c r="I62" s="50">
        <f t="shared" si="0"/>
        <v>1744.4584</v>
      </c>
      <c r="J62" s="13" t="s">
        <v>35</v>
      </c>
    </row>
    <row r="63" ht="16.5" spans="1:10">
      <c r="A63" s="5">
        <v>31</v>
      </c>
      <c r="B63" s="5" t="s">
        <v>31</v>
      </c>
      <c r="C63" s="156" t="s">
        <v>32</v>
      </c>
      <c r="D63" s="6">
        <v>16</v>
      </c>
      <c r="E63" s="6">
        <v>1940</v>
      </c>
      <c r="F63" s="6">
        <v>7490</v>
      </c>
      <c r="G63" s="8" t="s">
        <v>33</v>
      </c>
      <c r="H63" s="5">
        <v>1</v>
      </c>
      <c r="I63" s="50">
        <f t="shared" si="0"/>
        <v>1825.04336</v>
      </c>
      <c r="J63" s="13" t="s">
        <v>35</v>
      </c>
    </row>
    <row r="64" ht="16.5" spans="1:11">
      <c r="A64" s="5">
        <v>32</v>
      </c>
      <c r="B64" s="5" t="s">
        <v>31</v>
      </c>
      <c r="C64" s="156" t="s">
        <v>32</v>
      </c>
      <c r="D64" s="6">
        <v>16</v>
      </c>
      <c r="E64" s="6">
        <v>1505</v>
      </c>
      <c r="F64" s="6">
        <v>10000</v>
      </c>
      <c r="G64" s="8" t="s">
        <v>33</v>
      </c>
      <c r="H64" s="5">
        <v>1</v>
      </c>
      <c r="I64" s="50">
        <f t="shared" si="0"/>
        <v>1890.28</v>
      </c>
      <c r="J64" s="13" t="s">
        <v>36</v>
      </c>
      <c r="K64">
        <f>303466472*7.85*16/100000</f>
        <v>381153.888832</v>
      </c>
    </row>
    <row r="65" ht="16.5" spans="1:10">
      <c r="A65" s="5">
        <v>33</v>
      </c>
      <c r="B65" s="5" t="s">
        <v>31</v>
      </c>
      <c r="C65" s="156" t="s">
        <v>32</v>
      </c>
      <c r="D65" s="6">
        <v>16</v>
      </c>
      <c r="E65" s="6">
        <v>1800</v>
      </c>
      <c r="F65" s="6">
        <v>8140</v>
      </c>
      <c r="G65" s="8" t="s">
        <v>33</v>
      </c>
      <c r="H65" s="5">
        <v>1</v>
      </c>
      <c r="I65" s="50">
        <f t="shared" si="0"/>
        <v>1840.2912</v>
      </c>
      <c r="J65" s="13" t="s">
        <v>36</v>
      </c>
    </row>
    <row r="66" ht="16.5" spans="1:10">
      <c r="A66" s="5">
        <v>34</v>
      </c>
      <c r="B66" s="5" t="s">
        <v>31</v>
      </c>
      <c r="C66" s="156" t="s">
        <v>32</v>
      </c>
      <c r="D66" s="6">
        <v>16</v>
      </c>
      <c r="E66" s="6">
        <v>1800</v>
      </c>
      <c r="F66" s="6">
        <v>8140</v>
      </c>
      <c r="G66" s="8" t="s">
        <v>33</v>
      </c>
      <c r="H66" s="5">
        <v>1</v>
      </c>
      <c r="I66" s="50">
        <f t="shared" si="0"/>
        <v>1840.2912</v>
      </c>
      <c r="J66" s="13" t="s">
        <v>36</v>
      </c>
    </row>
    <row r="67" ht="16.5" spans="1:10">
      <c r="A67" s="5">
        <v>35</v>
      </c>
      <c r="B67" s="5" t="s">
        <v>31</v>
      </c>
      <c r="C67" s="156" t="s">
        <v>32</v>
      </c>
      <c r="D67" s="6">
        <v>16</v>
      </c>
      <c r="E67" s="6">
        <v>1800</v>
      </c>
      <c r="F67" s="6">
        <v>8210</v>
      </c>
      <c r="G67" s="8" t="s">
        <v>33</v>
      </c>
      <c r="H67" s="5">
        <v>1</v>
      </c>
      <c r="I67" s="50">
        <f t="shared" si="0"/>
        <v>1856.1168</v>
      </c>
      <c r="J67" s="13" t="s">
        <v>36</v>
      </c>
    </row>
    <row r="68" ht="16.5" spans="1:10">
      <c r="A68" s="5">
        <v>36</v>
      </c>
      <c r="B68" s="5" t="s">
        <v>31</v>
      </c>
      <c r="C68" s="156" t="s">
        <v>32</v>
      </c>
      <c r="D68" s="6">
        <v>16</v>
      </c>
      <c r="E68" s="6">
        <v>1800</v>
      </c>
      <c r="F68" s="6">
        <v>8050</v>
      </c>
      <c r="G68" s="8" t="s">
        <v>33</v>
      </c>
      <c r="H68" s="5">
        <v>1</v>
      </c>
      <c r="I68" s="50">
        <f t="shared" si="0"/>
        <v>1819.944</v>
      </c>
      <c r="J68" s="13" t="s">
        <v>36</v>
      </c>
    </row>
    <row r="69" ht="16.5" spans="1:10">
      <c r="A69" s="5">
        <v>37</v>
      </c>
      <c r="B69" s="5" t="s">
        <v>31</v>
      </c>
      <c r="C69" s="156" t="s">
        <v>32</v>
      </c>
      <c r="D69" s="6">
        <v>16</v>
      </c>
      <c r="E69" s="6">
        <v>1800</v>
      </c>
      <c r="F69" s="6">
        <v>8040</v>
      </c>
      <c r="G69" s="8" t="s">
        <v>33</v>
      </c>
      <c r="H69" s="5">
        <v>1</v>
      </c>
      <c r="I69" s="50">
        <f t="shared" ref="I69:I94" si="1">D69*E69*F69*H69*7.85/1000000</f>
        <v>1817.6832</v>
      </c>
      <c r="J69" s="13" t="s">
        <v>36</v>
      </c>
    </row>
    <row r="70" ht="16.5" spans="1:10">
      <c r="A70" s="5">
        <v>38</v>
      </c>
      <c r="B70" s="5" t="s">
        <v>31</v>
      </c>
      <c r="C70" s="156" t="s">
        <v>32</v>
      </c>
      <c r="D70" s="6">
        <v>16</v>
      </c>
      <c r="E70" s="6">
        <v>1800</v>
      </c>
      <c r="F70" s="6">
        <v>8070</v>
      </c>
      <c r="G70" s="8" t="s">
        <v>33</v>
      </c>
      <c r="H70" s="5">
        <v>1</v>
      </c>
      <c r="I70" s="50">
        <f t="shared" si="1"/>
        <v>1824.4656</v>
      </c>
      <c r="J70" s="13" t="s">
        <v>36</v>
      </c>
    </row>
    <row r="71" ht="16.5" spans="1:10">
      <c r="A71" s="5">
        <v>39</v>
      </c>
      <c r="B71" s="5" t="s">
        <v>31</v>
      </c>
      <c r="C71" s="156" t="s">
        <v>32</v>
      </c>
      <c r="D71" s="6">
        <v>16</v>
      </c>
      <c r="E71" s="6">
        <v>1800</v>
      </c>
      <c r="F71" s="6">
        <v>8070</v>
      </c>
      <c r="G71" s="8" t="s">
        <v>33</v>
      </c>
      <c r="H71" s="5">
        <v>1</v>
      </c>
      <c r="I71" s="50">
        <f t="shared" si="1"/>
        <v>1824.4656</v>
      </c>
      <c r="J71" s="13" t="s">
        <v>36</v>
      </c>
    </row>
    <row r="72" ht="16.5" spans="1:10">
      <c r="A72" s="5">
        <v>40</v>
      </c>
      <c r="B72" s="5" t="s">
        <v>31</v>
      </c>
      <c r="C72" s="156" t="s">
        <v>32</v>
      </c>
      <c r="D72" s="6">
        <v>16</v>
      </c>
      <c r="E72" s="6">
        <v>1800</v>
      </c>
      <c r="F72" s="6">
        <v>8080</v>
      </c>
      <c r="G72" s="8" t="s">
        <v>33</v>
      </c>
      <c r="H72" s="5">
        <v>1</v>
      </c>
      <c r="I72" s="50">
        <f t="shared" si="1"/>
        <v>1826.7264</v>
      </c>
      <c r="J72" s="13" t="s">
        <v>36</v>
      </c>
    </row>
    <row r="73" ht="16.5" spans="1:10">
      <c r="A73" s="5">
        <v>41</v>
      </c>
      <c r="B73" s="5" t="s">
        <v>31</v>
      </c>
      <c r="C73" s="156" t="s">
        <v>32</v>
      </c>
      <c r="D73" s="6">
        <v>16</v>
      </c>
      <c r="E73" s="6">
        <v>1540</v>
      </c>
      <c r="F73" s="6">
        <v>8060</v>
      </c>
      <c r="G73" s="8" t="s">
        <v>33</v>
      </c>
      <c r="H73" s="5">
        <v>1</v>
      </c>
      <c r="I73" s="50">
        <f t="shared" si="1"/>
        <v>1558.99744</v>
      </c>
      <c r="J73" s="13" t="s">
        <v>36</v>
      </c>
    </row>
    <row r="74" ht="16.5" spans="1:10">
      <c r="A74" s="5">
        <v>42</v>
      </c>
      <c r="B74" s="5" t="s">
        <v>31</v>
      </c>
      <c r="C74" s="156" t="s">
        <v>32</v>
      </c>
      <c r="D74" s="6">
        <v>16</v>
      </c>
      <c r="E74" s="6">
        <v>1505</v>
      </c>
      <c r="F74" s="6">
        <v>8020</v>
      </c>
      <c r="G74" s="8" t="s">
        <v>33</v>
      </c>
      <c r="H74" s="5">
        <v>1</v>
      </c>
      <c r="I74" s="50">
        <f t="shared" si="1"/>
        <v>1516.00456</v>
      </c>
      <c r="J74" s="13" t="s">
        <v>36</v>
      </c>
    </row>
    <row r="75" ht="16.5" spans="1:10">
      <c r="A75" s="5">
        <v>43</v>
      </c>
      <c r="B75" s="5" t="s">
        <v>31</v>
      </c>
      <c r="C75" s="156" t="s">
        <v>32</v>
      </c>
      <c r="D75" s="6">
        <v>16</v>
      </c>
      <c r="E75" s="6">
        <v>1505</v>
      </c>
      <c r="F75" s="6">
        <v>8020</v>
      </c>
      <c r="G75" s="8" t="s">
        <v>33</v>
      </c>
      <c r="H75" s="5">
        <v>1</v>
      </c>
      <c r="I75" s="50">
        <f t="shared" si="1"/>
        <v>1516.00456</v>
      </c>
      <c r="J75" s="13" t="s">
        <v>36</v>
      </c>
    </row>
    <row r="76" ht="16.5" spans="1:10">
      <c r="A76" s="5">
        <v>44</v>
      </c>
      <c r="B76" s="5" t="s">
        <v>31</v>
      </c>
      <c r="C76" s="156" t="s">
        <v>32</v>
      </c>
      <c r="D76" s="6">
        <v>16</v>
      </c>
      <c r="E76" s="6">
        <v>1505</v>
      </c>
      <c r="F76" s="6">
        <v>8020</v>
      </c>
      <c r="G76" s="8" t="s">
        <v>33</v>
      </c>
      <c r="H76" s="5">
        <v>1</v>
      </c>
      <c r="I76" s="50">
        <f t="shared" si="1"/>
        <v>1516.00456</v>
      </c>
      <c r="J76" s="13" t="s">
        <v>36</v>
      </c>
    </row>
    <row r="77" ht="16.5" spans="1:10">
      <c r="A77" s="5">
        <v>32</v>
      </c>
      <c r="B77" s="5" t="s">
        <v>31</v>
      </c>
      <c r="C77" s="156" t="s">
        <v>32</v>
      </c>
      <c r="D77" s="6">
        <v>16</v>
      </c>
      <c r="E77" s="6">
        <v>1505</v>
      </c>
      <c r="F77" s="6">
        <v>7440</v>
      </c>
      <c r="G77" s="8" t="s">
        <v>33</v>
      </c>
      <c r="H77" s="5">
        <v>1</v>
      </c>
      <c r="I77" s="50">
        <f t="shared" si="1"/>
        <v>1406.36832</v>
      </c>
      <c r="J77" s="13" t="s">
        <v>36</v>
      </c>
    </row>
    <row r="78" ht="16.5" spans="1:10">
      <c r="A78" s="5">
        <v>33</v>
      </c>
      <c r="B78" s="5" t="s">
        <v>31</v>
      </c>
      <c r="C78" s="156" t="s">
        <v>32</v>
      </c>
      <c r="D78" s="6">
        <v>16</v>
      </c>
      <c r="E78" s="6">
        <v>2010</v>
      </c>
      <c r="F78" s="6">
        <v>8020</v>
      </c>
      <c r="G78" s="8" t="s">
        <v>33</v>
      </c>
      <c r="H78" s="5">
        <v>1</v>
      </c>
      <c r="I78" s="50">
        <f t="shared" si="1"/>
        <v>2024.69712</v>
      </c>
      <c r="J78" s="13" t="s">
        <v>36</v>
      </c>
    </row>
    <row r="79" ht="16.5" spans="1:10">
      <c r="A79" s="5">
        <v>34</v>
      </c>
      <c r="B79" s="5" t="s">
        <v>31</v>
      </c>
      <c r="C79" s="156" t="s">
        <v>32</v>
      </c>
      <c r="D79" s="6">
        <v>16</v>
      </c>
      <c r="E79" s="6">
        <v>2010</v>
      </c>
      <c r="F79" s="6">
        <v>8020</v>
      </c>
      <c r="G79" s="8" t="s">
        <v>33</v>
      </c>
      <c r="H79" s="5">
        <v>1</v>
      </c>
      <c r="I79" s="50">
        <f t="shared" si="1"/>
        <v>2024.69712</v>
      </c>
      <c r="J79" s="13" t="s">
        <v>36</v>
      </c>
    </row>
    <row r="80" ht="16.5" spans="1:10">
      <c r="A80" s="5">
        <v>35</v>
      </c>
      <c r="B80" s="5" t="s">
        <v>31</v>
      </c>
      <c r="C80" s="156" t="s">
        <v>32</v>
      </c>
      <c r="D80" s="6">
        <v>16</v>
      </c>
      <c r="E80" s="6">
        <v>2010</v>
      </c>
      <c r="F80" s="6">
        <v>8010</v>
      </c>
      <c r="G80" s="8" t="s">
        <v>33</v>
      </c>
      <c r="H80" s="5">
        <v>1</v>
      </c>
      <c r="I80" s="50">
        <f t="shared" si="1"/>
        <v>2022.17256</v>
      </c>
      <c r="J80" s="13" t="s">
        <v>36</v>
      </c>
    </row>
    <row r="81" ht="16.5" spans="1:10">
      <c r="A81" s="5">
        <v>36</v>
      </c>
      <c r="B81" s="5" t="s">
        <v>31</v>
      </c>
      <c r="C81" s="156" t="s">
        <v>32</v>
      </c>
      <c r="D81" s="6">
        <v>16</v>
      </c>
      <c r="E81" s="6">
        <v>1620</v>
      </c>
      <c r="F81" s="6">
        <v>8140</v>
      </c>
      <c r="G81" s="8" t="s">
        <v>33</v>
      </c>
      <c r="H81" s="5">
        <v>1</v>
      </c>
      <c r="I81" s="50">
        <f t="shared" si="1"/>
        <v>1656.26208</v>
      </c>
      <c r="J81" s="13" t="s">
        <v>36</v>
      </c>
    </row>
    <row r="82" ht="16.5" spans="1:10">
      <c r="A82" s="5">
        <v>37</v>
      </c>
      <c r="B82" s="5" t="s">
        <v>31</v>
      </c>
      <c r="C82" s="156" t="s">
        <v>32</v>
      </c>
      <c r="D82" s="6">
        <v>16</v>
      </c>
      <c r="E82" s="6">
        <v>1530</v>
      </c>
      <c r="F82" s="6">
        <v>8090</v>
      </c>
      <c r="G82" s="8" t="s">
        <v>33</v>
      </c>
      <c r="H82" s="5">
        <v>1</v>
      </c>
      <c r="I82" s="50">
        <f t="shared" si="1"/>
        <v>1554.63912</v>
      </c>
      <c r="J82" s="13" t="s">
        <v>36</v>
      </c>
    </row>
    <row r="83" ht="16.5" spans="1:10">
      <c r="A83" s="5">
        <v>38</v>
      </c>
      <c r="B83" s="5" t="s">
        <v>31</v>
      </c>
      <c r="C83" s="156" t="s">
        <v>32</v>
      </c>
      <c r="D83" s="6">
        <v>16</v>
      </c>
      <c r="E83" s="6">
        <v>1590</v>
      </c>
      <c r="F83" s="6">
        <v>8090</v>
      </c>
      <c r="G83" s="8" t="s">
        <v>33</v>
      </c>
      <c r="H83" s="5">
        <v>1</v>
      </c>
      <c r="I83" s="50">
        <f t="shared" si="1"/>
        <v>1615.60536</v>
      </c>
      <c r="J83" s="13" t="s">
        <v>36</v>
      </c>
    </row>
    <row r="84" ht="16.5" spans="1:10">
      <c r="A84" s="5">
        <v>36</v>
      </c>
      <c r="B84" s="5" t="s">
        <v>31</v>
      </c>
      <c r="C84" s="156" t="s">
        <v>32</v>
      </c>
      <c r="D84" s="6">
        <v>16</v>
      </c>
      <c r="E84" s="6">
        <v>1570</v>
      </c>
      <c r="F84" s="6">
        <v>8170</v>
      </c>
      <c r="G84" s="8" t="s">
        <v>33</v>
      </c>
      <c r="H84" s="5">
        <v>1</v>
      </c>
      <c r="I84" s="50">
        <f t="shared" si="1"/>
        <v>1611.05864</v>
      </c>
      <c r="J84" s="13" t="s">
        <v>36</v>
      </c>
    </row>
    <row r="85" ht="16.5" spans="1:10">
      <c r="A85" s="5">
        <v>37</v>
      </c>
      <c r="B85" s="5" t="s">
        <v>31</v>
      </c>
      <c r="C85" s="156" t="s">
        <v>32</v>
      </c>
      <c r="D85" s="6">
        <v>16</v>
      </c>
      <c r="E85" s="6">
        <v>1510</v>
      </c>
      <c r="F85" s="6">
        <v>8020</v>
      </c>
      <c r="G85" s="8" t="s">
        <v>33</v>
      </c>
      <c r="H85" s="5">
        <v>1</v>
      </c>
      <c r="I85" s="50">
        <f t="shared" si="1"/>
        <v>1521.04112</v>
      </c>
      <c r="J85" s="13" t="s">
        <v>36</v>
      </c>
    </row>
    <row r="86" ht="16.5" spans="1:10">
      <c r="A86" s="5">
        <v>38</v>
      </c>
      <c r="B86" s="5" t="s">
        <v>31</v>
      </c>
      <c r="C86" s="156" t="s">
        <v>32</v>
      </c>
      <c r="D86" s="6">
        <v>16</v>
      </c>
      <c r="E86" s="6">
        <v>2010</v>
      </c>
      <c r="F86" s="6">
        <v>5000</v>
      </c>
      <c r="G86" s="8" t="s">
        <v>33</v>
      </c>
      <c r="H86" s="5">
        <v>1</v>
      </c>
      <c r="I86" s="50">
        <f t="shared" si="1"/>
        <v>1262.28</v>
      </c>
      <c r="J86" s="13" t="s">
        <v>36</v>
      </c>
    </row>
    <row r="87" ht="16.5" spans="1:10">
      <c r="A87" s="5">
        <v>54</v>
      </c>
      <c r="B87" s="5" t="s">
        <v>31</v>
      </c>
      <c r="C87" s="156" t="s">
        <v>32</v>
      </c>
      <c r="D87" s="6">
        <v>12</v>
      </c>
      <c r="E87" s="6">
        <v>1960</v>
      </c>
      <c r="F87" s="6">
        <v>6860</v>
      </c>
      <c r="G87" s="8" t="s">
        <v>33</v>
      </c>
      <c r="H87" s="5">
        <v>2</v>
      </c>
      <c r="I87" s="50">
        <f t="shared" si="1"/>
        <v>2533.15104</v>
      </c>
      <c r="J87" s="13" t="s">
        <v>15</v>
      </c>
    </row>
    <row r="88" ht="16.5" spans="1:10">
      <c r="A88" s="5">
        <v>55</v>
      </c>
      <c r="B88" s="5" t="s">
        <v>31</v>
      </c>
      <c r="C88" s="156" t="s">
        <v>32</v>
      </c>
      <c r="D88" s="6">
        <v>12</v>
      </c>
      <c r="E88" s="6">
        <v>1500</v>
      </c>
      <c r="F88" s="6">
        <v>8550</v>
      </c>
      <c r="G88" s="8" t="s">
        <v>33</v>
      </c>
      <c r="H88" s="5">
        <v>1</v>
      </c>
      <c r="I88" s="50">
        <f t="shared" si="1"/>
        <v>1208.115</v>
      </c>
      <c r="J88" s="13" t="s">
        <v>17</v>
      </c>
    </row>
    <row r="89" ht="16.5" spans="1:10">
      <c r="A89" s="5">
        <v>56</v>
      </c>
      <c r="B89" s="5" t="s">
        <v>31</v>
      </c>
      <c r="C89" s="156" t="s">
        <v>32</v>
      </c>
      <c r="D89" s="6">
        <v>12</v>
      </c>
      <c r="E89" s="6">
        <v>1960</v>
      </c>
      <c r="F89" s="6">
        <v>10030</v>
      </c>
      <c r="G89" s="8" t="s">
        <v>33</v>
      </c>
      <c r="H89" s="5">
        <v>2</v>
      </c>
      <c r="I89" s="50">
        <f t="shared" si="1"/>
        <v>3703.71792</v>
      </c>
      <c r="J89" s="13" t="s">
        <v>16</v>
      </c>
    </row>
    <row r="90" ht="16.5" spans="1:10">
      <c r="A90" s="5">
        <v>56</v>
      </c>
      <c r="B90" s="5" t="s">
        <v>31</v>
      </c>
      <c r="C90" s="156" t="s">
        <v>32</v>
      </c>
      <c r="D90" s="6">
        <v>12</v>
      </c>
      <c r="E90" s="6">
        <v>1960</v>
      </c>
      <c r="F90" s="6">
        <v>7550</v>
      </c>
      <c r="G90" s="8" t="s">
        <v>33</v>
      </c>
      <c r="H90" s="5">
        <v>1</v>
      </c>
      <c r="I90" s="50">
        <f t="shared" si="1"/>
        <v>1393.9716</v>
      </c>
      <c r="J90" s="13" t="s">
        <v>16</v>
      </c>
    </row>
    <row r="91" ht="16.5" spans="1:10">
      <c r="A91" s="5">
        <v>57</v>
      </c>
      <c r="B91" s="5" t="s">
        <v>31</v>
      </c>
      <c r="C91" s="156" t="s">
        <v>32</v>
      </c>
      <c r="D91" s="6">
        <v>16</v>
      </c>
      <c r="E91" s="6">
        <v>1950</v>
      </c>
      <c r="F91" s="6">
        <f>(242720+1000)/4/6</f>
        <v>10155</v>
      </c>
      <c r="G91" s="8" t="s">
        <v>33</v>
      </c>
      <c r="H91" s="5">
        <v>6</v>
      </c>
      <c r="I91" s="50">
        <f t="shared" si="1"/>
        <v>14922.9756</v>
      </c>
      <c r="J91" s="13" t="s">
        <v>19</v>
      </c>
    </row>
    <row r="92" ht="16.5" spans="1:10">
      <c r="A92" s="5">
        <v>58</v>
      </c>
      <c r="B92" s="5" t="s">
        <v>31</v>
      </c>
      <c r="C92" s="156" t="s">
        <v>32</v>
      </c>
      <c r="D92" s="6">
        <v>16</v>
      </c>
      <c r="E92" s="60">
        <v>1720</v>
      </c>
      <c r="F92" s="50">
        <f>(485440+2000)/5/10</f>
        <v>9748.8</v>
      </c>
      <c r="G92" s="8" t="s">
        <v>33</v>
      </c>
      <c r="H92" s="5">
        <v>10</v>
      </c>
      <c r="I92" s="50">
        <f t="shared" si="1"/>
        <v>21060.527616</v>
      </c>
      <c r="J92" s="13" t="s">
        <v>14</v>
      </c>
    </row>
    <row r="93" ht="16.5" spans="1:10">
      <c r="A93" s="5">
        <v>59</v>
      </c>
      <c r="B93" s="5" t="s">
        <v>31</v>
      </c>
      <c r="C93" s="156" t="s">
        <v>37</v>
      </c>
      <c r="D93" s="6">
        <v>16</v>
      </c>
      <c r="E93" s="6">
        <v>1800</v>
      </c>
      <c r="F93" s="6">
        <v>11340</v>
      </c>
      <c r="G93" s="8" t="s">
        <v>33</v>
      </c>
      <c r="H93" s="5">
        <v>1</v>
      </c>
      <c r="I93" s="157">
        <f t="shared" si="1"/>
        <v>2563.7472</v>
      </c>
      <c r="J93" s="13" t="s">
        <v>38</v>
      </c>
    </row>
    <row r="94" ht="16.5" spans="1:10">
      <c r="A94" s="5">
        <v>60</v>
      </c>
      <c r="B94" s="5" t="s">
        <v>31</v>
      </c>
      <c r="C94" s="156" t="s">
        <v>39</v>
      </c>
      <c r="D94" s="6">
        <v>16</v>
      </c>
      <c r="E94" s="6">
        <v>1990</v>
      </c>
      <c r="F94" s="6">
        <v>12200</v>
      </c>
      <c r="G94" s="8" t="s">
        <v>33</v>
      </c>
      <c r="H94" s="5">
        <v>1</v>
      </c>
      <c r="I94" s="157">
        <f t="shared" si="1"/>
        <v>3049.3168</v>
      </c>
      <c r="J94" s="13" t="s">
        <v>38</v>
      </c>
    </row>
    <row r="95" ht="16.5" spans="1:12">
      <c r="A95" s="5" t="s">
        <v>40</v>
      </c>
      <c r="B95" s="5"/>
      <c r="C95" s="5"/>
      <c r="D95" s="5"/>
      <c r="E95" s="5"/>
      <c r="F95" s="5"/>
      <c r="G95" s="5"/>
      <c r="H95" s="5"/>
      <c r="I95" s="50">
        <f>SUM(I5:I94)</f>
        <v>195529.019576</v>
      </c>
      <c r="J95" s="13"/>
      <c r="K95">
        <v>187034.57</v>
      </c>
      <c r="L95">
        <f>(I95-K95)/K95</f>
        <v>0.0454164680679086</v>
      </c>
    </row>
    <row r="96" ht="16.5" spans="1:11">
      <c r="A96" s="22" t="s">
        <v>41</v>
      </c>
      <c r="B96" s="22"/>
      <c r="C96" s="22"/>
      <c r="D96" s="22"/>
      <c r="E96" s="22"/>
      <c r="F96" s="22"/>
      <c r="G96" s="22"/>
      <c r="H96" s="22"/>
      <c r="I96" s="22"/>
      <c r="J96" s="22"/>
      <c r="K96" s="50"/>
    </row>
    <row r="97" ht="16.5" spans="1:10">
      <c r="A97" s="22" t="s">
        <v>51</v>
      </c>
      <c r="B97" s="22"/>
      <c r="C97" s="22"/>
      <c r="D97" s="22"/>
      <c r="E97" s="22"/>
      <c r="F97" s="22"/>
      <c r="G97" s="22"/>
      <c r="H97" s="22"/>
      <c r="I97" s="22"/>
      <c r="J97" s="22"/>
    </row>
    <row r="98" ht="16.5" spans="1:10">
      <c r="A98" s="16" t="s">
        <v>43</v>
      </c>
      <c r="B98" s="16"/>
      <c r="C98" s="16"/>
      <c r="D98" s="16"/>
      <c r="E98" s="16"/>
      <c r="F98" s="16"/>
      <c r="G98" s="16"/>
      <c r="H98" s="16"/>
      <c r="I98" s="16"/>
      <c r="J98" s="16"/>
    </row>
  </sheetData>
  <autoFilter ref="A4:L98">
    <extLst/>
  </autoFilter>
  <mergeCells count="6">
    <mergeCell ref="A1:J1"/>
    <mergeCell ref="A2:F2"/>
    <mergeCell ref="A95:H95"/>
    <mergeCell ref="A96:J96"/>
    <mergeCell ref="A97:J97"/>
    <mergeCell ref="A98:J98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L90"/>
  <sheetViews>
    <sheetView topLeftCell="A67" workbookViewId="0">
      <selection activeCell="A63" sqref="A63:J66"/>
    </sheetView>
  </sheetViews>
  <sheetFormatPr defaultColWidth="9" defaultRowHeight="13.5"/>
  <cols>
    <col min="4" max="4" width="12.625"/>
    <col min="5" max="5" width="9.375"/>
    <col min="11" max="11" width="12.625"/>
    <col min="12" max="12" width="13.75"/>
  </cols>
  <sheetData>
    <row r="1" ht="22.5" spans="1:10">
      <c r="A1" s="15" t="s">
        <v>20</v>
      </c>
      <c r="B1" s="15"/>
      <c r="C1" s="15"/>
      <c r="D1" s="15"/>
      <c r="E1" s="15"/>
      <c r="F1" s="15"/>
      <c r="G1" s="15"/>
      <c r="H1" s="15"/>
      <c r="I1" s="15"/>
      <c r="J1" s="15"/>
    </row>
    <row r="2" ht="16.5" spans="1:10">
      <c r="A2" s="16" t="s">
        <v>21</v>
      </c>
      <c r="B2" s="17"/>
      <c r="C2" s="17"/>
      <c r="D2" s="17"/>
      <c r="E2" s="17"/>
      <c r="F2" s="17"/>
      <c r="G2" s="17"/>
      <c r="H2" s="17"/>
      <c r="I2" s="17"/>
      <c r="J2" s="26"/>
    </row>
    <row r="3" ht="16.5" spans="1:10">
      <c r="A3" s="18" t="s">
        <v>50</v>
      </c>
      <c r="B3" s="19"/>
      <c r="C3" s="19"/>
      <c r="D3" s="17"/>
      <c r="E3" s="19"/>
      <c r="F3" s="19"/>
      <c r="G3" s="17"/>
      <c r="H3" s="17"/>
      <c r="I3" s="26"/>
      <c r="J3" s="26"/>
    </row>
    <row r="4" ht="15" spans="1:10">
      <c r="A4" s="1" t="s">
        <v>23</v>
      </c>
      <c r="B4" s="1" t="s">
        <v>0</v>
      </c>
      <c r="C4" s="2" t="s">
        <v>24</v>
      </c>
      <c r="D4" s="2" t="s">
        <v>25</v>
      </c>
      <c r="E4" s="2" t="s">
        <v>26</v>
      </c>
      <c r="F4" s="2" t="s">
        <v>27</v>
      </c>
      <c r="G4" s="3" t="s">
        <v>28</v>
      </c>
      <c r="H4" s="2" t="s">
        <v>3</v>
      </c>
      <c r="I4" s="11" t="s">
        <v>29</v>
      </c>
      <c r="J4" s="11" t="s">
        <v>30</v>
      </c>
    </row>
    <row r="5" ht="16.5" spans="1:10">
      <c r="A5" s="5">
        <v>1</v>
      </c>
      <c r="B5" s="5" t="s">
        <v>31</v>
      </c>
      <c r="C5" s="156" t="s">
        <v>32</v>
      </c>
      <c r="D5" s="6">
        <v>16</v>
      </c>
      <c r="E5" s="6">
        <v>2006</v>
      </c>
      <c r="F5" s="6">
        <v>9210</v>
      </c>
      <c r="G5" s="8" t="s">
        <v>33</v>
      </c>
      <c r="H5" s="5">
        <v>1</v>
      </c>
      <c r="I5" s="157">
        <f t="shared" ref="I5:I68" si="0">D5*E5*F5*H5*7.85/1000000</f>
        <v>2320.492656</v>
      </c>
      <c r="J5" s="13" t="s">
        <v>11</v>
      </c>
    </row>
    <row r="6" ht="16.5" spans="1:10">
      <c r="A6" s="5">
        <v>2</v>
      </c>
      <c r="B6" s="5" t="s">
        <v>31</v>
      </c>
      <c r="C6" s="156" t="s">
        <v>32</v>
      </c>
      <c r="D6" s="6">
        <v>16</v>
      </c>
      <c r="E6" s="6">
        <v>1806</v>
      </c>
      <c r="F6" s="6">
        <v>9190</v>
      </c>
      <c r="G6" s="8" t="s">
        <v>33</v>
      </c>
      <c r="H6" s="5">
        <v>1</v>
      </c>
      <c r="I6" s="157">
        <f t="shared" si="0"/>
        <v>2084.600784</v>
      </c>
      <c r="J6" s="13" t="s">
        <v>11</v>
      </c>
    </row>
    <row r="7" ht="16.5" spans="1:10">
      <c r="A7" s="5">
        <v>3</v>
      </c>
      <c r="B7" s="5" t="s">
        <v>31</v>
      </c>
      <c r="C7" s="156" t="s">
        <v>32</v>
      </c>
      <c r="D7" s="6">
        <v>16</v>
      </c>
      <c r="E7" s="6">
        <v>2005</v>
      </c>
      <c r="F7" s="6">
        <v>11460</v>
      </c>
      <c r="G7" s="8" t="s">
        <v>33</v>
      </c>
      <c r="H7" s="5">
        <v>1</v>
      </c>
      <c r="I7" s="157">
        <f t="shared" si="0"/>
        <v>2885.94888</v>
      </c>
      <c r="J7" s="13" t="s">
        <v>11</v>
      </c>
    </row>
    <row r="8" ht="16.5" spans="1:10">
      <c r="A8" s="5">
        <v>4</v>
      </c>
      <c r="B8" s="5" t="s">
        <v>31</v>
      </c>
      <c r="C8" s="156" t="s">
        <v>32</v>
      </c>
      <c r="D8" s="6">
        <v>16</v>
      </c>
      <c r="E8" s="6">
        <v>1810</v>
      </c>
      <c r="F8" s="6">
        <v>7740</v>
      </c>
      <c r="G8" s="8" t="s">
        <v>33</v>
      </c>
      <c r="H8" s="5">
        <v>1</v>
      </c>
      <c r="I8" s="157">
        <f t="shared" si="0"/>
        <v>1759.58064</v>
      </c>
      <c r="J8" s="13" t="s">
        <v>11</v>
      </c>
    </row>
    <row r="9" ht="16.5" spans="1:10">
      <c r="A9" s="5">
        <v>5</v>
      </c>
      <c r="B9" s="5" t="s">
        <v>31</v>
      </c>
      <c r="C9" s="156" t="s">
        <v>32</v>
      </c>
      <c r="D9" s="6">
        <v>16</v>
      </c>
      <c r="E9" s="6">
        <v>1880</v>
      </c>
      <c r="F9" s="6">
        <v>7580</v>
      </c>
      <c r="G9" s="8" t="s">
        <v>33</v>
      </c>
      <c r="H9" s="5">
        <v>1</v>
      </c>
      <c r="I9" s="157">
        <f t="shared" si="0"/>
        <v>1789.85024</v>
      </c>
      <c r="J9" s="13" t="s">
        <v>11</v>
      </c>
    </row>
    <row r="10" ht="16.5" spans="1:10">
      <c r="A10" s="5">
        <v>6</v>
      </c>
      <c r="B10" s="5" t="s">
        <v>31</v>
      </c>
      <c r="C10" s="156" t="s">
        <v>32</v>
      </c>
      <c r="D10" s="6">
        <v>16</v>
      </c>
      <c r="E10" s="6">
        <v>1880</v>
      </c>
      <c r="F10" s="6">
        <v>7580</v>
      </c>
      <c r="G10" s="8" t="s">
        <v>33</v>
      </c>
      <c r="H10" s="5">
        <v>1</v>
      </c>
      <c r="I10" s="157">
        <f t="shared" si="0"/>
        <v>1789.85024</v>
      </c>
      <c r="J10" s="13" t="s">
        <v>11</v>
      </c>
    </row>
    <row r="11" ht="16.5" spans="1:10">
      <c r="A11" s="5">
        <v>7</v>
      </c>
      <c r="B11" s="5" t="s">
        <v>31</v>
      </c>
      <c r="C11" s="156" t="s">
        <v>32</v>
      </c>
      <c r="D11" s="6">
        <v>16</v>
      </c>
      <c r="E11" s="6">
        <v>1880</v>
      </c>
      <c r="F11" s="6">
        <v>11280</v>
      </c>
      <c r="G11" s="8" t="s">
        <v>33</v>
      </c>
      <c r="H11" s="5">
        <v>1</v>
      </c>
      <c r="I11" s="157">
        <f t="shared" si="0"/>
        <v>2663.52384</v>
      </c>
      <c r="J11" s="13" t="s">
        <v>11</v>
      </c>
    </row>
    <row r="12" ht="16.5" spans="1:10">
      <c r="A12" s="5">
        <v>8</v>
      </c>
      <c r="B12" s="5" t="s">
        <v>31</v>
      </c>
      <c r="C12" s="156" t="s">
        <v>32</v>
      </c>
      <c r="D12" s="6">
        <v>16</v>
      </c>
      <c r="E12" s="6">
        <v>1860</v>
      </c>
      <c r="F12" s="6">
        <v>7530</v>
      </c>
      <c r="G12" s="8" t="s">
        <v>33</v>
      </c>
      <c r="H12" s="5">
        <v>1</v>
      </c>
      <c r="I12" s="157">
        <f t="shared" si="0"/>
        <v>1759.12848</v>
      </c>
      <c r="J12" s="13" t="s">
        <v>11</v>
      </c>
    </row>
    <row r="13" ht="16.5" spans="1:10">
      <c r="A13" s="5">
        <v>9</v>
      </c>
      <c r="B13" s="5" t="s">
        <v>31</v>
      </c>
      <c r="C13" s="156" t="s">
        <v>32</v>
      </c>
      <c r="D13" s="6">
        <v>16</v>
      </c>
      <c r="E13" s="6">
        <v>2000</v>
      </c>
      <c r="F13" s="6">
        <v>11150</v>
      </c>
      <c r="G13" s="8" t="s">
        <v>33</v>
      </c>
      <c r="H13" s="5">
        <v>1</v>
      </c>
      <c r="I13" s="157">
        <f t="shared" si="0"/>
        <v>2800.88</v>
      </c>
      <c r="J13" s="13" t="s">
        <v>11</v>
      </c>
    </row>
    <row r="14" ht="16.5" spans="1:10">
      <c r="A14" s="5">
        <v>10</v>
      </c>
      <c r="B14" s="5" t="s">
        <v>31</v>
      </c>
      <c r="C14" s="156" t="s">
        <v>32</v>
      </c>
      <c r="D14" s="6">
        <v>16</v>
      </c>
      <c r="E14" s="6">
        <v>1805</v>
      </c>
      <c r="F14" s="6">
        <v>7440</v>
      </c>
      <c r="G14" s="8" t="s">
        <v>33</v>
      </c>
      <c r="H14" s="5">
        <v>1</v>
      </c>
      <c r="I14" s="157">
        <f t="shared" si="0"/>
        <v>1686.70752</v>
      </c>
      <c r="J14" s="13" t="s">
        <v>11</v>
      </c>
    </row>
    <row r="15" ht="16.5" spans="1:10">
      <c r="A15" s="5">
        <v>11</v>
      </c>
      <c r="B15" s="5" t="s">
        <v>31</v>
      </c>
      <c r="C15" s="156" t="s">
        <v>32</v>
      </c>
      <c r="D15" s="6">
        <v>16</v>
      </c>
      <c r="E15" s="6">
        <v>2000</v>
      </c>
      <c r="F15" s="6">
        <v>10800</v>
      </c>
      <c r="G15" s="8" t="s">
        <v>33</v>
      </c>
      <c r="H15" s="5">
        <v>1</v>
      </c>
      <c r="I15" s="157">
        <f t="shared" si="0"/>
        <v>2712.96</v>
      </c>
      <c r="J15" s="13" t="s">
        <v>11</v>
      </c>
    </row>
    <row r="16" ht="16.5" spans="1:10">
      <c r="A16" s="5">
        <v>12</v>
      </c>
      <c r="B16" s="5" t="s">
        <v>31</v>
      </c>
      <c r="C16" s="156" t="s">
        <v>32</v>
      </c>
      <c r="D16" s="6">
        <v>16</v>
      </c>
      <c r="E16" s="6">
        <v>2010</v>
      </c>
      <c r="F16" s="6">
        <v>7440</v>
      </c>
      <c r="G16" s="8" t="s">
        <v>33</v>
      </c>
      <c r="H16" s="5">
        <v>1</v>
      </c>
      <c r="I16" s="157">
        <f t="shared" si="0"/>
        <v>1878.27264</v>
      </c>
      <c r="J16" s="13" t="s">
        <v>11</v>
      </c>
    </row>
    <row r="17" ht="16.5" spans="1:10">
      <c r="A17" s="5">
        <v>13</v>
      </c>
      <c r="B17" s="5" t="s">
        <v>31</v>
      </c>
      <c r="C17" s="156" t="s">
        <v>32</v>
      </c>
      <c r="D17" s="6">
        <v>16</v>
      </c>
      <c r="E17" s="6">
        <v>2005</v>
      </c>
      <c r="F17" s="6">
        <v>7440</v>
      </c>
      <c r="G17" s="8" t="s">
        <v>33</v>
      </c>
      <c r="H17" s="5">
        <v>1</v>
      </c>
      <c r="I17" s="157">
        <f t="shared" si="0"/>
        <v>1873.60032</v>
      </c>
      <c r="J17" s="13" t="s">
        <v>11</v>
      </c>
    </row>
    <row r="18" ht="16.5" spans="1:10">
      <c r="A18" s="5">
        <v>14</v>
      </c>
      <c r="B18" s="5" t="s">
        <v>31</v>
      </c>
      <c r="C18" s="156" t="s">
        <v>32</v>
      </c>
      <c r="D18" s="6">
        <v>16</v>
      </c>
      <c r="E18" s="6">
        <v>2005</v>
      </c>
      <c r="F18" s="6">
        <v>7440</v>
      </c>
      <c r="G18" s="8" t="s">
        <v>33</v>
      </c>
      <c r="H18" s="5">
        <v>1</v>
      </c>
      <c r="I18" s="157">
        <f t="shared" si="0"/>
        <v>1873.60032</v>
      </c>
      <c r="J18" s="13" t="s">
        <v>11</v>
      </c>
    </row>
    <row r="19" ht="16.5" spans="1:10">
      <c r="A19" s="5">
        <v>15</v>
      </c>
      <c r="B19" s="5" t="s">
        <v>31</v>
      </c>
      <c r="C19" s="156" t="s">
        <v>32</v>
      </c>
      <c r="D19" s="6">
        <v>16</v>
      </c>
      <c r="E19" s="6">
        <v>1805</v>
      </c>
      <c r="F19" s="6">
        <v>11150</v>
      </c>
      <c r="G19" s="8" t="s">
        <v>33</v>
      </c>
      <c r="H19" s="5">
        <v>1</v>
      </c>
      <c r="I19" s="157">
        <f t="shared" si="0"/>
        <v>2527.7942</v>
      </c>
      <c r="J19" s="13" t="s">
        <v>11</v>
      </c>
    </row>
    <row r="20" ht="16.5" spans="1:10">
      <c r="A20" s="5">
        <v>16</v>
      </c>
      <c r="B20" s="5" t="s">
        <v>31</v>
      </c>
      <c r="C20" s="156" t="s">
        <v>32</v>
      </c>
      <c r="D20" s="6">
        <v>16</v>
      </c>
      <c r="E20" s="6">
        <v>1805</v>
      </c>
      <c r="F20" s="6">
        <v>7430</v>
      </c>
      <c r="G20" s="8" t="s">
        <v>33</v>
      </c>
      <c r="H20" s="5">
        <v>1</v>
      </c>
      <c r="I20" s="157">
        <f t="shared" si="0"/>
        <v>1684.44044</v>
      </c>
      <c r="J20" s="13" t="s">
        <v>11</v>
      </c>
    </row>
    <row r="21" ht="16.5" spans="1:10">
      <c r="A21" s="5">
        <v>17</v>
      </c>
      <c r="B21" s="5" t="s">
        <v>31</v>
      </c>
      <c r="C21" s="156" t="s">
        <v>32</v>
      </c>
      <c r="D21" s="6">
        <v>16</v>
      </c>
      <c r="E21" s="6">
        <v>2000</v>
      </c>
      <c r="F21" s="6">
        <v>7430</v>
      </c>
      <c r="G21" s="8" t="s">
        <v>33</v>
      </c>
      <c r="H21" s="5">
        <v>1</v>
      </c>
      <c r="I21" s="157">
        <f t="shared" si="0"/>
        <v>1866.416</v>
      </c>
      <c r="J21" s="13" t="s">
        <v>11</v>
      </c>
    </row>
    <row r="22" ht="16.5" spans="1:10">
      <c r="A22" s="5">
        <v>18</v>
      </c>
      <c r="B22" s="5" t="s">
        <v>31</v>
      </c>
      <c r="C22" s="156" t="s">
        <v>32</v>
      </c>
      <c r="D22" s="6">
        <v>16</v>
      </c>
      <c r="E22" s="6">
        <v>2005</v>
      </c>
      <c r="F22" s="6">
        <v>7430</v>
      </c>
      <c r="G22" s="8" t="s">
        <v>33</v>
      </c>
      <c r="H22" s="5">
        <v>1</v>
      </c>
      <c r="I22" s="157">
        <f t="shared" si="0"/>
        <v>1871.08204</v>
      </c>
      <c r="J22" s="13" t="s">
        <v>11</v>
      </c>
    </row>
    <row r="23" ht="16.5" spans="1:10">
      <c r="A23" s="5">
        <v>19</v>
      </c>
      <c r="B23" s="5" t="s">
        <v>31</v>
      </c>
      <c r="C23" s="156" t="s">
        <v>32</v>
      </c>
      <c r="D23" s="6">
        <v>16</v>
      </c>
      <c r="E23" s="6">
        <v>1805</v>
      </c>
      <c r="F23" s="6">
        <v>7430</v>
      </c>
      <c r="G23" s="8" t="s">
        <v>33</v>
      </c>
      <c r="H23" s="5">
        <v>1</v>
      </c>
      <c r="I23" s="157">
        <f t="shared" si="0"/>
        <v>1684.44044</v>
      </c>
      <c r="J23" s="13" t="s">
        <v>11</v>
      </c>
    </row>
    <row r="24" ht="16.5" spans="1:10">
      <c r="A24" s="5">
        <v>20</v>
      </c>
      <c r="B24" s="5" t="s">
        <v>31</v>
      </c>
      <c r="C24" s="156" t="s">
        <v>32</v>
      </c>
      <c r="D24" s="6">
        <v>16</v>
      </c>
      <c r="E24" s="6">
        <v>2005</v>
      </c>
      <c r="F24" s="6">
        <v>9360</v>
      </c>
      <c r="G24" s="8" t="s">
        <v>33</v>
      </c>
      <c r="H24" s="5">
        <v>1</v>
      </c>
      <c r="I24" s="157">
        <f t="shared" si="0"/>
        <v>2357.11008</v>
      </c>
      <c r="J24" s="13" t="s">
        <v>11</v>
      </c>
    </row>
    <row r="25" ht="16.5" spans="1:10">
      <c r="A25" s="5">
        <v>21</v>
      </c>
      <c r="B25" s="5" t="s">
        <v>31</v>
      </c>
      <c r="C25" s="156" t="s">
        <v>32</v>
      </c>
      <c r="D25" s="6">
        <v>16</v>
      </c>
      <c r="E25" s="6">
        <v>1900</v>
      </c>
      <c r="F25" s="6">
        <v>10770</v>
      </c>
      <c r="G25" s="8" t="s">
        <v>33</v>
      </c>
      <c r="H25" s="5">
        <v>1</v>
      </c>
      <c r="I25" s="157">
        <f t="shared" si="0"/>
        <v>2570.1528</v>
      </c>
      <c r="J25" s="13" t="s">
        <v>11</v>
      </c>
    </row>
    <row r="26" ht="16.5" spans="1:10">
      <c r="A26" s="5">
        <v>22</v>
      </c>
      <c r="B26" s="5" t="s">
        <v>31</v>
      </c>
      <c r="C26" s="156" t="s">
        <v>32</v>
      </c>
      <c r="D26" s="6">
        <v>16</v>
      </c>
      <c r="E26" s="6">
        <v>2005</v>
      </c>
      <c r="F26" s="6">
        <v>7420</v>
      </c>
      <c r="G26" s="8" t="s">
        <v>33</v>
      </c>
      <c r="H26" s="5">
        <v>1</v>
      </c>
      <c r="I26" s="157">
        <f t="shared" si="0"/>
        <v>1868.56376</v>
      </c>
      <c r="J26" s="13" t="s">
        <v>11</v>
      </c>
    </row>
    <row r="27" ht="16.5" spans="1:10">
      <c r="A27" s="5">
        <v>23</v>
      </c>
      <c r="B27" s="5" t="s">
        <v>31</v>
      </c>
      <c r="C27" s="156" t="s">
        <v>32</v>
      </c>
      <c r="D27" s="6">
        <v>16</v>
      </c>
      <c r="E27" s="6">
        <v>2005</v>
      </c>
      <c r="F27" s="6">
        <v>7440</v>
      </c>
      <c r="G27" s="8" t="s">
        <v>33</v>
      </c>
      <c r="H27" s="5">
        <v>1</v>
      </c>
      <c r="I27" s="157">
        <f t="shared" si="0"/>
        <v>1873.60032</v>
      </c>
      <c r="J27" s="13" t="s">
        <v>11</v>
      </c>
    </row>
    <row r="28" ht="16.5" spans="1:10">
      <c r="A28" s="5">
        <v>24</v>
      </c>
      <c r="B28" s="5" t="s">
        <v>31</v>
      </c>
      <c r="C28" s="156" t="s">
        <v>32</v>
      </c>
      <c r="D28" s="6">
        <v>16</v>
      </c>
      <c r="E28" s="6">
        <v>2005</v>
      </c>
      <c r="F28" s="6">
        <v>7430</v>
      </c>
      <c r="G28" s="8" t="s">
        <v>33</v>
      </c>
      <c r="H28" s="5">
        <v>1</v>
      </c>
      <c r="I28" s="157">
        <f t="shared" si="0"/>
        <v>1871.08204</v>
      </c>
      <c r="J28" s="13" t="s">
        <v>11</v>
      </c>
    </row>
    <row r="29" ht="16.5" spans="1:10">
      <c r="A29" s="5">
        <v>25</v>
      </c>
      <c r="B29" s="5" t="s">
        <v>31</v>
      </c>
      <c r="C29" s="156" t="s">
        <v>32</v>
      </c>
      <c r="D29" s="6">
        <v>16</v>
      </c>
      <c r="E29" s="6">
        <v>1880</v>
      </c>
      <c r="F29" s="6">
        <v>11120</v>
      </c>
      <c r="G29" s="8" t="s">
        <v>33</v>
      </c>
      <c r="H29" s="5">
        <v>1</v>
      </c>
      <c r="I29" s="157">
        <f t="shared" si="0"/>
        <v>2625.74336</v>
      </c>
      <c r="J29" s="13" t="s">
        <v>11</v>
      </c>
    </row>
    <row r="30" ht="16.5" spans="1:10">
      <c r="A30" s="5">
        <v>19</v>
      </c>
      <c r="B30" s="5" t="s">
        <v>31</v>
      </c>
      <c r="C30" s="156" t="s">
        <v>32</v>
      </c>
      <c r="D30" s="6">
        <v>16</v>
      </c>
      <c r="E30" s="6">
        <v>1805</v>
      </c>
      <c r="F30" s="6">
        <v>7420</v>
      </c>
      <c r="G30" s="8" t="s">
        <v>33</v>
      </c>
      <c r="H30" s="5">
        <v>1</v>
      </c>
      <c r="I30" s="157">
        <f t="shared" si="0"/>
        <v>1682.17336</v>
      </c>
      <c r="J30" s="13" t="s">
        <v>11</v>
      </c>
    </row>
    <row r="31" ht="16.5" spans="1:10">
      <c r="A31" s="5">
        <v>20</v>
      </c>
      <c r="B31" s="5" t="s">
        <v>31</v>
      </c>
      <c r="C31" s="156" t="s">
        <v>32</v>
      </c>
      <c r="D31" s="6">
        <v>16</v>
      </c>
      <c r="E31" s="6">
        <v>1505</v>
      </c>
      <c r="F31" s="6">
        <v>9490</v>
      </c>
      <c r="G31" s="8" t="s">
        <v>33</v>
      </c>
      <c r="H31" s="5">
        <v>1</v>
      </c>
      <c r="I31" s="157">
        <f t="shared" si="0"/>
        <v>1793.87572</v>
      </c>
      <c r="J31" s="13" t="s">
        <v>34</v>
      </c>
    </row>
    <row r="32" ht="16.5" spans="1:10">
      <c r="A32" s="5">
        <v>21</v>
      </c>
      <c r="B32" s="5" t="s">
        <v>31</v>
      </c>
      <c r="C32" s="156" t="s">
        <v>32</v>
      </c>
      <c r="D32" s="6">
        <v>16</v>
      </c>
      <c r="E32" s="6">
        <v>1800</v>
      </c>
      <c r="F32" s="6">
        <v>8100</v>
      </c>
      <c r="G32" s="8" t="s">
        <v>33</v>
      </c>
      <c r="H32" s="5">
        <v>1</v>
      </c>
      <c r="I32" s="157">
        <f t="shared" si="0"/>
        <v>1831.248</v>
      </c>
      <c r="J32" s="13" t="s">
        <v>34</v>
      </c>
    </row>
    <row r="33" ht="16.5" spans="1:10">
      <c r="A33" s="5">
        <v>22</v>
      </c>
      <c r="B33" s="5" t="s">
        <v>31</v>
      </c>
      <c r="C33" s="156" t="s">
        <v>32</v>
      </c>
      <c r="D33" s="6">
        <v>16</v>
      </c>
      <c r="E33" s="6">
        <v>1805</v>
      </c>
      <c r="F33" s="6">
        <v>11710</v>
      </c>
      <c r="G33" s="8" t="s">
        <v>33</v>
      </c>
      <c r="H33" s="5">
        <v>1</v>
      </c>
      <c r="I33" s="157">
        <f t="shared" si="0"/>
        <v>2654.75068</v>
      </c>
      <c r="J33" s="13" t="s">
        <v>34</v>
      </c>
    </row>
    <row r="34" ht="16.5" spans="1:10">
      <c r="A34" s="5">
        <v>22</v>
      </c>
      <c r="B34" s="5" t="s">
        <v>31</v>
      </c>
      <c r="C34" s="156" t="s">
        <v>32</v>
      </c>
      <c r="D34" s="6">
        <v>16</v>
      </c>
      <c r="E34" s="6">
        <v>1800</v>
      </c>
      <c r="F34" s="6">
        <v>8120</v>
      </c>
      <c r="G34" s="8" t="s">
        <v>33</v>
      </c>
      <c r="H34" s="5">
        <v>1</v>
      </c>
      <c r="I34" s="157">
        <f t="shared" si="0"/>
        <v>1835.7696</v>
      </c>
      <c r="J34" s="13" t="s">
        <v>34</v>
      </c>
    </row>
    <row r="35" ht="16.5" spans="1:10">
      <c r="A35" s="5">
        <v>26</v>
      </c>
      <c r="B35" s="5" t="s">
        <v>31</v>
      </c>
      <c r="C35" s="156" t="s">
        <v>32</v>
      </c>
      <c r="D35" s="6">
        <v>16</v>
      </c>
      <c r="E35" s="6">
        <v>1800</v>
      </c>
      <c r="F35" s="6">
        <v>8070</v>
      </c>
      <c r="G35" s="8" t="s">
        <v>33</v>
      </c>
      <c r="H35" s="5">
        <v>1</v>
      </c>
      <c r="I35" s="157">
        <f t="shared" si="0"/>
        <v>1824.4656</v>
      </c>
      <c r="J35" s="13" t="s">
        <v>34</v>
      </c>
    </row>
    <row r="36" ht="16.5" spans="1:10">
      <c r="A36" s="5">
        <v>27</v>
      </c>
      <c r="B36" s="5" t="s">
        <v>31</v>
      </c>
      <c r="C36" s="156" t="s">
        <v>32</v>
      </c>
      <c r="D36" s="6">
        <v>16</v>
      </c>
      <c r="E36" s="6">
        <v>1800</v>
      </c>
      <c r="F36" s="6">
        <v>8080</v>
      </c>
      <c r="G36" s="8" t="s">
        <v>33</v>
      </c>
      <c r="H36" s="5">
        <v>1</v>
      </c>
      <c r="I36" s="157">
        <f t="shared" si="0"/>
        <v>1826.7264</v>
      </c>
      <c r="J36" s="13" t="s">
        <v>34</v>
      </c>
    </row>
    <row r="37" ht="16.5" spans="1:10">
      <c r="A37" s="5">
        <v>28</v>
      </c>
      <c r="B37" s="5" t="s">
        <v>31</v>
      </c>
      <c r="C37" s="156" t="s">
        <v>32</v>
      </c>
      <c r="D37" s="6">
        <v>16</v>
      </c>
      <c r="E37" s="6">
        <v>1500</v>
      </c>
      <c r="F37" s="6">
        <v>8040</v>
      </c>
      <c r="G37" s="8" t="s">
        <v>33</v>
      </c>
      <c r="H37" s="5">
        <v>1</v>
      </c>
      <c r="I37" s="157">
        <f t="shared" si="0"/>
        <v>1514.736</v>
      </c>
      <c r="J37" s="13" t="s">
        <v>34</v>
      </c>
    </row>
    <row r="38" ht="16.5" spans="1:10">
      <c r="A38" s="5">
        <v>29</v>
      </c>
      <c r="B38" s="5" t="s">
        <v>31</v>
      </c>
      <c r="C38" s="156" t="s">
        <v>32</v>
      </c>
      <c r="D38" s="6">
        <v>16</v>
      </c>
      <c r="E38" s="6">
        <v>1505</v>
      </c>
      <c r="F38" s="6">
        <v>8040</v>
      </c>
      <c r="G38" s="8" t="s">
        <v>33</v>
      </c>
      <c r="H38" s="5">
        <v>1</v>
      </c>
      <c r="I38" s="50">
        <f t="shared" si="0"/>
        <v>1519.78512</v>
      </c>
      <c r="J38" s="13" t="s">
        <v>34</v>
      </c>
    </row>
    <row r="39" ht="16.5" spans="1:10">
      <c r="A39" s="5">
        <v>30</v>
      </c>
      <c r="B39" s="5" t="s">
        <v>31</v>
      </c>
      <c r="C39" s="156" t="s">
        <v>32</v>
      </c>
      <c r="D39" s="6">
        <v>16</v>
      </c>
      <c r="E39" s="6">
        <v>2005</v>
      </c>
      <c r="F39" s="6">
        <v>12790</v>
      </c>
      <c r="G39" s="8" t="s">
        <v>33</v>
      </c>
      <c r="H39" s="5">
        <v>1</v>
      </c>
      <c r="I39" s="50">
        <f t="shared" si="0"/>
        <v>3220.88012</v>
      </c>
      <c r="J39" s="13" t="s">
        <v>34</v>
      </c>
    </row>
    <row r="40" ht="16.5" spans="1:10">
      <c r="A40" s="5">
        <v>31</v>
      </c>
      <c r="B40" s="5" t="s">
        <v>31</v>
      </c>
      <c r="C40" s="156" t="s">
        <v>32</v>
      </c>
      <c r="D40" s="6">
        <v>16</v>
      </c>
      <c r="E40" s="6">
        <v>2005</v>
      </c>
      <c r="F40" s="6">
        <v>8040</v>
      </c>
      <c r="G40" s="8" t="s">
        <v>33</v>
      </c>
      <c r="H40" s="5">
        <v>1</v>
      </c>
      <c r="I40" s="50">
        <f t="shared" si="0"/>
        <v>2024.69712</v>
      </c>
      <c r="J40" s="13" t="s">
        <v>34</v>
      </c>
    </row>
    <row r="41" ht="16.5" spans="1:10">
      <c r="A41" s="5">
        <v>32</v>
      </c>
      <c r="B41" s="5" t="s">
        <v>31</v>
      </c>
      <c r="C41" s="156" t="s">
        <v>32</v>
      </c>
      <c r="D41" s="6">
        <v>16</v>
      </c>
      <c r="E41" s="6">
        <v>1790</v>
      </c>
      <c r="F41" s="6">
        <v>8040</v>
      </c>
      <c r="G41" s="8" t="s">
        <v>33</v>
      </c>
      <c r="H41" s="5">
        <v>1</v>
      </c>
      <c r="I41" s="50">
        <f t="shared" si="0"/>
        <v>1807.58496</v>
      </c>
      <c r="J41" s="13" t="s">
        <v>34</v>
      </c>
    </row>
    <row r="42" ht="16.5" spans="1:10">
      <c r="A42" s="5">
        <v>33</v>
      </c>
      <c r="B42" s="5" t="s">
        <v>31</v>
      </c>
      <c r="C42" s="156" t="s">
        <v>32</v>
      </c>
      <c r="D42" s="6">
        <v>16</v>
      </c>
      <c r="E42" s="6">
        <v>1505</v>
      </c>
      <c r="F42" s="6">
        <v>8040</v>
      </c>
      <c r="G42" s="8" t="s">
        <v>33</v>
      </c>
      <c r="H42" s="5">
        <v>1</v>
      </c>
      <c r="I42" s="50">
        <f t="shared" si="0"/>
        <v>1519.78512</v>
      </c>
      <c r="J42" s="13" t="s">
        <v>34</v>
      </c>
    </row>
    <row r="43" ht="16.5" spans="1:10">
      <c r="A43" s="5">
        <v>34</v>
      </c>
      <c r="B43" s="5" t="s">
        <v>31</v>
      </c>
      <c r="C43" s="156" t="s">
        <v>32</v>
      </c>
      <c r="D43" s="6">
        <v>16</v>
      </c>
      <c r="E43" s="6">
        <v>1505</v>
      </c>
      <c r="F43" s="6">
        <v>8030</v>
      </c>
      <c r="G43" s="8" t="s">
        <v>33</v>
      </c>
      <c r="H43" s="5">
        <v>1</v>
      </c>
      <c r="I43" s="50">
        <f t="shared" si="0"/>
        <v>1517.89484</v>
      </c>
      <c r="J43" s="13" t="s">
        <v>34</v>
      </c>
    </row>
    <row r="44" ht="16.5" spans="1:10">
      <c r="A44" s="5">
        <v>35</v>
      </c>
      <c r="B44" s="5" t="s">
        <v>31</v>
      </c>
      <c r="C44" s="156" t="s">
        <v>32</v>
      </c>
      <c r="D44" s="6">
        <v>16</v>
      </c>
      <c r="E44" s="6">
        <v>1505</v>
      </c>
      <c r="F44" s="6">
        <v>8030</v>
      </c>
      <c r="G44" s="8" t="s">
        <v>33</v>
      </c>
      <c r="H44" s="5">
        <v>1</v>
      </c>
      <c r="I44" s="50">
        <f t="shared" si="0"/>
        <v>1517.89484</v>
      </c>
      <c r="J44" s="13" t="s">
        <v>34</v>
      </c>
    </row>
    <row r="45" ht="16.5" spans="1:10">
      <c r="A45" s="5">
        <v>36</v>
      </c>
      <c r="B45" s="5" t="s">
        <v>31</v>
      </c>
      <c r="C45" s="156" t="s">
        <v>32</v>
      </c>
      <c r="D45" s="6">
        <v>16</v>
      </c>
      <c r="E45" s="6">
        <v>2005</v>
      </c>
      <c r="F45" s="6">
        <v>8020</v>
      </c>
      <c r="G45" s="8" t="s">
        <v>33</v>
      </c>
      <c r="H45" s="5">
        <v>1</v>
      </c>
      <c r="I45" s="50">
        <f t="shared" si="0"/>
        <v>2019.66056</v>
      </c>
      <c r="J45" s="13" t="s">
        <v>34</v>
      </c>
    </row>
    <row r="46" ht="16.5" spans="1:10">
      <c r="A46" s="5">
        <v>37</v>
      </c>
      <c r="B46" s="5" t="s">
        <v>31</v>
      </c>
      <c r="C46" s="156" t="s">
        <v>32</v>
      </c>
      <c r="D46" s="6">
        <v>16</v>
      </c>
      <c r="E46" s="6">
        <v>1505</v>
      </c>
      <c r="F46" s="6">
        <v>8020</v>
      </c>
      <c r="G46" s="8" t="s">
        <v>33</v>
      </c>
      <c r="H46" s="5">
        <v>1</v>
      </c>
      <c r="I46" s="50">
        <f t="shared" si="0"/>
        <v>1516.00456</v>
      </c>
      <c r="J46" s="13" t="s">
        <v>34</v>
      </c>
    </row>
    <row r="47" ht="16.5" spans="1:10">
      <c r="A47" s="5">
        <v>38</v>
      </c>
      <c r="B47" s="5" t="s">
        <v>31</v>
      </c>
      <c r="C47" s="156" t="s">
        <v>32</v>
      </c>
      <c r="D47" s="6">
        <v>16</v>
      </c>
      <c r="E47" s="6">
        <v>1505</v>
      </c>
      <c r="F47" s="6">
        <v>8010</v>
      </c>
      <c r="G47" s="8" t="s">
        <v>33</v>
      </c>
      <c r="H47" s="5">
        <v>1</v>
      </c>
      <c r="I47" s="50">
        <f t="shared" si="0"/>
        <v>1514.11428</v>
      </c>
      <c r="J47" s="13" t="s">
        <v>34</v>
      </c>
    </row>
    <row r="48" ht="16.5" spans="1:10">
      <c r="A48" s="5">
        <v>39</v>
      </c>
      <c r="B48" s="5" t="s">
        <v>31</v>
      </c>
      <c r="C48" s="156" t="s">
        <v>32</v>
      </c>
      <c r="D48" s="6">
        <v>16</v>
      </c>
      <c r="E48" s="6">
        <v>1590</v>
      </c>
      <c r="F48" s="6">
        <v>11850</v>
      </c>
      <c r="G48" s="8" t="s">
        <v>33</v>
      </c>
      <c r="H48" s="5">
        <v>1</v>
      </c>
      <c r="I48" s="50">
        <f t="shared" si="0"/>
        <v>2366.4924</v>
      </c>
      <c r="J48" s="13" t="s">
        <v>34</v>
      </c>
    </row>
    <row r="49" ht="16.5" spans="1:10">
      <c r="A49" s="5">
        <v>40</v>
      </c>
      <c r="B49" s="5" t="s">
        <v>31</v>
      </c>
      <c r="C49" s="156" t="s">
        <v>32</v>
      </c>
      <c r="D49" s="6">
        <v>16</v>
      </c>
      <c r="E49" s="6">
        <v>1800</v>
      </c>
      <c r="F49" s="6">
        <v>8160</v>
      </c>
      <c r="G49" s="8" t="s">
        <v>33</v>
      </c>
      <c r="H49" s="5">
        <v>1</v>
      </c>
      <c r="I49" s="50">
        <f t="shared" si="0"/>
        <v>1844.8128</v>
      </c>
      <c r="J49" s="13" t="s">
        <v>34</v>
      </c>
    </row>
    <row r="50" ht="16.5" spans="1:10">
      <c r="A50" s="5">
        <v>41</v>
      </c>
      <c r="B50" s="5" t="s">
        <v>31</v>
      </c>
      <c r="C50" s="156" t="s">
        <v>32</v>
      </c>
      <c r="D50" s="6">
        <v>16</v>
      </c>
      <c r="E50" s="6">
        <v>1790</v>
      </c>
      <c r="F50" s="6">
        <v>8600</v>
      </c>
      <c r="G50" s="8" t="s">
        <v>33</v>
      </c>
      <c r="H50" s="5">
        <v>1</v>
      </c>
      <c r="I50" s="50">
        <f t="shared" si="0"/>
        <v>1933.4864</v>
      </c>
      <c r="J50" s="13" t="s">
        <v>34</v>
      </c>
    </row>
    <row r="51" ht="16.5" spans="1:10">
      <c r="A51" s="5">
        <v>42</v>
      </c>
      <c r="B51" s="5" t="s">
        <v>31</v>
      </c>
      <c r="C51" s="156" t="s">
        <v>32</v>
      </c>
      <c r="D51" s="6">
        <v>16</v>
      </c>
      <c r="E51" s="6">
        <v>1580</v>
      </c>
      <c r="F51" s="6">
        <v>8140</v>
      </c>
      <c r="G51" s="8" t="s">
        <v>33</v>
      </c>
      <c r="H51" s="5">
        <v>1</v>
      </c>
      <c r="I51" s="50">
        <f t="shared" si="0"/>
        <v>1615.36672</v>
      </c>
      <c r="J51" s="13" t="s">
        <v>34</v>
      </c>
    </row>
    <row r="52" ht="16.5" spans="1:10">
      <c r="A52" s="5">
        <v>43</v>
      </c>
      <c r="B52" s="5" t="s">
        <v>31</v>
      </c>
      <c r="C52" s="156" t="s">
        <v>32</v>
      </c>
      <c r="D52" s="6">
        <v>16</v>
      </c>
      <c r="E52" s="6">
        <v>1890</v>
      </c>
      <c r="F52" s="6">
        <v>11740</v>
      </c>
      <c r="G52" s="8" t="s">
        <v>33</v>
      </c>
      <c r="H52" s="5">
        <v>1</v>
      </c>
      <c r="I52" s="50">
        <f t="shared" si="0"/>
        <v>2786.88816</v>
      </c>
      <c r="J52" s="13" t="s">
        <v>35</v>
      </c>
    </row>
    <row r="53" ht="16.5" spans="1:10">
      <c r="A53" s="5">
        <v>44</v>
      </c>
      <c r="B53" s="5" t="s">
        <v>31</v>
      </c>
      <c r="C53" s="156" t="s">
        <v>32</v>
      </c>
      <c r="D53" s="6">
        <v>16</v>
      </c>
      <c r="E53" s="6">
        <v>1900</v>
      </c>
      <c r="F53" s="6">
        <v>10890</v>
      </c>
      <c r="G53" s="8" t="s">
        <v>33</v>
      </c>
      <c r="H53" s="5">
        <v>1</v>
      </c>
      <c r="I53" s="50">
        <f t="shared" si="0"/>
        <v>2598.7896</v>
      </c>
      <c r="J53" s="13" t="s">
        <v>35</v>
      </c>
    </row>
    <row r="54" ht="16.5" spans="1:10">
      <c r="A54" s="5">
        <v>45</v>
      </c>
      <c r="B54" s="5" t="s">
        <v>31</v>
      </c>
      <c r="C54" s="156" t="s">
        <v>32</v>
      </c>
      <c r="D54" s="6">
        <v>16</v>
      </c>
      <c r="E54" s="6">
        <v>1780</v>
      </c>
      <c r="F54" s="6">
        <v>7430</v>
      </c>
      <c r="G54" s="8" t="s">
        <v>33</v>
      </c>
      <c r="H54" s="5">
        <v>1</v>
      </c>
      <c r="I54" s="50">
        <f t="shared" si="0"/>
        <v>1661.11024</v>
      </c>
      <c r="J54" s="13" t="s">
        <v>35</v>
      </c>
    </row>
    <row r="55" ht="16.5" spans="1:10">
      <c r="A55" s="5">
        <v>46</v>
      </c>
      <c r="B55" s="5" t="s">
        <v>31</v>
      </c>
      <c r="C55" s="156" t="s">
        <v>32</v>
      </c>
      <c r="D55" s="6">
        <v>16</v>
      </c>
      <c r="E55" s="6">
        <v>1850</v>
      </c>
      <c r="F55" s="6">
        <v>7420</v>
      </c>
      <c r="G55" s="8" t="s">
        <v>33</v>
      </c>
      <c r="H55" s="5">
        <v>1</v>
      </c>
      <c r="I55" s="50">
        <f t="shared" si="0"/>
        <v>1724.1112</v>
      </c>
      <c r="J55" s="13" t="s">
        <v>35</v>
      </c>
    </row>
    <row r="56" ht="16.5" spans="1:10">
      <c r="A56" s="5">
        <v>45</v>
      </c>
      <c r="B56" s="5" t="s">
        <v>31</v>
      </c>
      <c r="C56" s="156" t="s">
        <v>32</v>
      </c>
      <c r="D56" s="6">
        <v>16</v>
      </c>
      <c r="E56" s="6">
        <v>1840</v>
      </c>
      <c r="F56" s="6">
        <v>7450</v>
      </c>
      <c r="G56" s="8" t="s">
        <v>33</v>
      </c>
      <c r="H56" s="5">
        <v>1</v>
      </c>
      <c r="I56" s="50">
        <f t="shared" si="0"/>
        <v>1721.7248</v>
      </c>
      <c r="J56" s="13" t="s">
        <v>35</v>
      </c>
    </row>
    <row r="57" ht="16.5" spans="1:10">
      <c r="A57" s="5">
        <v>46</v>
      </c>
      <c r="B57" s="5" t="s">
        <v>31</v>
      </c>
      <c r="C57" s="156" t="s">
        <v>32</v>
      </c>
      <c r="D57" s="6">
        <v>16</v>
      </c>
      <c r="E57" s="6">
        <v>1720</v>
      </c>
      <c r="F57" s="6">
        <v>9490</v>
      </c>
      <c r="G57" s="8" t="s">
        <v>33</v>
      </c>
      <c r="H57" s="5">
        <v>1</v>
      </c>
      <c r="I57" s="50">
        <f t="shared" si="0"/>
        <v>2050.14368</v>
      </c>
      <c r="J57" s="13" t="s">
        <v>36</v>
      </c>
    </row>
    <row r="58" ht="16.5" spans="1:10">
      <c r="A58" s="5">
        <v>26</v>
      </c>
      <c r="B58" s="5" t="s">
        <v>31</v>
      </c>
      <c r="C58" s="156" t="s">
        <v>32</v>
      </c>
      <c r="D58" s="6">
        <v>16</v>
      </c>
      <c r="E58" s="6">
        <v>1770</v>
      </c>
      <c r="F58" s="6">
        <v>9290</v>
      </c>
      <c r="G58" s="8" t="s">
        <v>33</v>
      </c>
      <c r="H58" s="5">
        <v>1</v>
      </c>
      <c r="I58" s="157">
        <f t="shared" si="0"/>
        <v>2065.27848</v>
      </c>
      <c r="J58" s="13" t="s">
        <v>36</v>
      </c>
    </row>
    <row r="59" ht="16.5" spans="1:10">
      <c r="A59" s="5">
        <v>27</v>
      </c>
      <c r="B59" s="5" t="s">
        <v>31</v>
      </c>
      <c r="C59" s="156" t="s">
        <v>32</v>
      </c>
      <c r="D59" s="6">
        <v>16</v>
      </c>
      <c r="E59" s="6">
        <v>1780</v>
      </c>
      <c r="F59" s="6">
        <v>8170</v>
      </c>
      <c r="G59" s="8" t="s">
        <v>33</v>
      </c>
      <c r="H59" s="5">
        <v>1</v>
      </c>
      <c r="I59" s="157">
        <f t="shared" si="0"/>
        <v>1826.55056</v>
      </c>
      <c r="J59" s="13" t="s">
        <v>36</v>
      </c>
    </row>
    <row r="60" ht="16.5" spans="1:10">
      <c r="A60" s="5">
        <v>28</v>
      </c>
      <c r="B60" s="5" t="s">
        <v>31</v>
      </c>
      <c r="C60" s="156" t="s">
        <v>32</v>
      </c>
      <c r="D60" s="6">
        <v>16</v>
      </c>
      <c r="E60" s="6">
        <v>1700</v>
      </c>
      <c r="F60" s="6">
        <v>8050</v>
      </c>
      <c r="G60" s="8" t="s">
        <v>33</v>
      </c>
      <c r="H60" s="5">
        <v>1</v>
      </c>
      <c r="I60" s="157">
        <f t="shared" si="0"/>
        <v>1718.836</v>
      </c>
      <c r="J60" s="13" t="s">
        <v>36</v>
      </c>
    </row>
    <row r="61" ht="16.5" spans="1:10">
      <c r="A61" s="5">
        <v>29</v>
      </c>
      <c r="B61" s="5" t="s">
        <v>31</v>
      </c>
      <c r="C61" s="156" t="s">
        <v>32</v>
      </c>
      <c r="D61" s="6">
        <v>16</v>
      </c>
      <c r="E61" s="6">
        <v>1690</v>
      </c>
      <c r="F61" s="6">
        <v>8040</v>
      </c>
      <c r="G61" s="8" t="s">
        <v>33</v>
      </c>
      <c r="H61" s="5">
        <v>1</v>
      </c>
      <c r="I61" s="50">
        <f t="shared" si="0"/>
        <v>1706.60256</v>
      </c>
      <c r="J61" s="13" t="s">
        <v>36</v>
      </c>
    </row>
    <row r="62" ht="16.5" spans="1:10">
      <c r="A62" s="5">
        <v>30</v>
      </c>
      <c r="B62" s="5" t="s">
        <v>31</v>
      </c>
      <c r="C62" s="156" t="s">
        <v>32</v>
      </c>
      <c r="D62" s="6">
        <v>16</v>
      </c>
      <c r="E62" s="6">
        <v>1690</v>
      </c>
      <c r="F62" s="6">
        <v>8030</v>
      </c>
      <c r="G62" s="8" t="s">
        <v>33</v>
      </c>
      <c r="H62" s="5">
        <v>1</v>
      </c>
      <c r="I62" s="50">
        <f t="shared" si="0"/>
        <v>1704.47992</v>
      </c>
      <c r="J62" s="13" t="s">
        <v>36</v>
      </c>
    </row>
    <row r="63" ht="16.5" spans="1:10">
      <c r="A63" s="5">
        <v>31</v>
      </c>
      <c r="B63" s="5" t="s">
        <v>31</v>
      </c>
      <c r="C63" s="156" t="s">
        <v>32</v>
      </c>
      <c r="D63" s="6">
        <v>16</v>
      </c>
      <c r="E63" s="6">
        <v>1690</v>
      </c>
      <c r="F63" s="6">
        <v>8030</v>
      </c>
      <c r="G63" s="8" t="s">
        <v>33</v>
      </c>
      <c r="H63" s="5">
        <v>1</v>
      </c>
      <c r="I63" s="50">
        <f t="shared" si="0"/>
        <v>1704.47992</v>
      </c>
      <c r="J63" s="13" t="s">
        <v>36</v>
      </c>
    </row>
    <row r="64" ht="16.5" spans="1:10">
      <c r="A64" s="5">
        <v>32</v>
      </c>
      <c r="B64" s="5" t="s">
        <v>31</v>
      </c>
      <c r="C64" s="156" t="s">
        <v>32</v>
      </c>
      <c r="D64" s="6">
        <v>16</v>
      </c>
      <c r="E64" s="6">
        <v>1750</v>
      </c>
      <c r="F64" s="6">
        <v>8020</v>
      </c>
      <c r="G64" s="8" t="s">
        <v>33</v>
      </c>
      <c r="H64" s="5">
        <v>1</v>
      </c>
      <c r="I64" s="50">
        <f t="shared" si="0"/>
        <v>1762.796</v>
      </c>
      <c r="J64" s="13" t="s">
        <v>36</v>
      </c>
    </row>
    <row r="65" ht="16.5" spans="1:10">
      <c r="A65" s="5">
        <v>33</v>
      </c>
      <c r="B65" s="5" t="s">
        <v>31</v>
      </c>
      <c r="C65" s="156" t="s">
        <v>32</v>
      </c>
      <c r="D65" s="6">
        <v>16</v>
      </c>
      <c r="E65" s="6">
        <v>1770</v>
      </c>
      <c r="F65" s="6">
        <v>7940</v>
      </c>
      <c r="G65" s="8" t="s">
        <v>33</v>
      </c>
      <c r="H65" s="5">
        <v>1</v>
      </c>
      <c r="I65" s="50">
        <f t="shared" si="0"/>
        <v>1765.15728</v>
      </c>
      <c r="J65" s="13" t="s">
        <v>36</v>
      </c>
    </row>
    <row r="66" ht="16.5" spans="1:10">
      <c r="A66" s="5">
        <v>34</v>
      </c>
      <c r="B66" s="5" t="s">
        <v>31</v>
      </c>
      <c r="C66" s="156" t="s">
        <v>32</v>
      </c>
      <c r="D66" s="6">
        <v>16</v>
      </c>
      <c r="E66" s="6">
        <v>1780</v>
      </c>
      <c r="F66" s="6">
        <v>7920</v>
      </c>
      <c r="G66" s="8" t="s">
        <v>33</v>
      </c>
      <c r="H66" s="5">
        <v>1</v>
      </c>
      <c r="I66" s="50">
        <f t="shared" si="0"/>
        <v>1770.65856</v>
      </c>
      <c r="J66" s="13" t="s">
        <v>36</v>
      </c>
    </row>
    <row r="67" ht="16.5" spans="1:10">
      <c r="A67" s="5">
        <v>35</v>
      </c>
      <c r="B67" s="5" t="s">
        <v>31</v>
      </c>
      <c r="C67" s="156" t="s">
        <v>32</v>
      </c>
      <c r="D67" s="6">
        <v>16</v>
      </c>
      <c r="E67" s="6">
        <v>1770</v>
      </c>
      <c r="F67" s="6">
        <v>7780</v>
      </c>
      <c r="G67" s="8" t="s">
        <v>33</v>
      </c>
      <c r="H67" s="5">
        <v>1</v>
      </c>
      <c r="I67" s="50">
        <f t="shared" si="0"/>
        <v>1729.58736</v>
      </c>
      <c r="J67" s="13" t="s">
        <v>36</v>
      </c>
    </row>
    <row r="68" ht="16.5" spans="1:10">
      <c r="A68" s="5">
        <v>36</v>
      </c>
      <c r="B68" s="5" t="s">
        <v>31</v>
      </c>
      <c r="C68" s="156" t="s">
        <v>32</v>
      </c>
      <c r="D68" s="6">
        <v>16</v>
      </c>
      <c r="E68" s="6">
        <v>1760</v>
      </c>
      <c r="F68" s="6">
        <v>7770</v>
      </c>
      <c r="G68" s="8" t="s">
        <v>33</v>
      </c>
      <c r="H68" s="5">
        <v>1</v>
      </c>
      <c r="I68" s="50">
        <f t="shared" si="0"/>
        <v>1717.60512</v>
      </c>
      <c r="J68" s="13" t="s">
        <v>36</v>
      </c>
    </row>
    <row r="69" ht="16.5" spans="1:10">
      <c r="A69" s="5">
        <v>37</v>
      </c>
      <c r="B69" s="5" t="s">
        <v>31</v>
      </c>
      <c r="C69" s="156" t="s">
        <v>32</v>
      </c>
      <c r="D69" s="6">
        <v>16</v>
      </c>
      <c r="E69" s="6">
        <v>1700</v>
      </c>
      <c r="F69" s="6">
        <v>7650</v>
      </c>
      <c r="G69" s="8" t="s">
        <v>33</v>
      </c>
      <c r="H69" s="5">
        <v>1</v>
      </c>
      <c r="I69" s="50">
        <f t="shared" ref="I69:I86" si="1">D69*E69*F69*H69*7.85/1000000</f>
        <v>1633.428</v>
      </c>
      <c r="J69" s="13" t="s">
        <v>36</v>
      </c>
    </row>
    <row r="70" ht="16.5" spans="1:10">
      <c r="A70" s="5">
        <v>38</v>
      </c>
      <c r="B70" s="5" t="s">
        <v>31</v>
      </c>
      <c r="C70" s="156" t="s">
        <v>32</v>
      </c>
      <c r="D70" s="6">
        <v>16</v>
      </c>
      <c r="E70" s="6">
        <v>1690</v>
      </c>
      <c r="F70" s="6">
        <v>7630</v>
      </c>
      <c r="G70" s="8" t="s">
        <v>33</v>
      </c>
      <c r="H70" s="5">
        <v>1</v>
      </c>
      <c r="I70" s="50">
        <f t="shared" si="1"/>
        <v>1619.57432</v>
      </c>
      <c r="J70" s="13" t="s">
        <v>36</v>
      </c>
    </row>
    <row r="71" ht="16.5" spans="1:10">
      <c r="A71" s="5">
        <v>39</v>
      </c>
      <c r="B71" s="5" t="s">
        <v>31</v>
      </c>
      <c r="C71" s="156" t="s">
        <v>32</v>
      </c>
      <c r="D71" s="6">
        <v>16</v>
      </c>
      <c r="E71" s="6">
        <v>1690</v>
      </c>
      <c r="F71" s="6">
        <v>7630</v>
      </c>
      <c r="G71" s="8" t="s">
        <v>33</v>
      </c>
      <c r="H71" s="5">
        <v>1</v>
      </c>
      <c r="I71" s="50">
        <f t="shared" si="1"/>
        <v>1619.57432</v>
      </c>
      <c r="J71" s="13" t="s">
        <v>36</v>
      </c>
    </row>
    <row r="72" ht="16.5" spans="1:10">
      <c r="A72" s="5">
        <v>40</v>
      </c>
      <c r="B72" s="5" t="s">
        <v>31</v>
      </c>
      <c r="C72" s="156" t="s">
        <v>32</v>
      </c>
      <c r="D72" s="6">
        <v>16</v>
      </c>
      <c r="E72" s="6">
        <v>1740</v>
      </c>
      <c r="F72" s="6">
        <v>7620</v>
      </c>
      <c r="G72" s="8" t="s">
        <v>33</v>
      </c>
      <c r="H72" s="5">
        <v>1</v>
      </c>
      <c r="I72" s="50">
        <f t="shared" si="1"/>
        <v>1665.30528</v>
      </c>
      <c r="J72" s="13" t="s">
        <v>36</v>
      </c>
    </row>
    <row r="73" ht="16.5" spans="1:10">
      <c r="A73" s="5">
        <v>41</v>
      </c>
      <c r="B73" s="5" t="s">
        <v>31</v>
      </c>
      <c r="C73" s="156" t="s">
        <v>32</v>
      </c>
      <c r="D73" s="6">
        <v>16</v>
      </c>
      <c r="E73" s="6">
        <v>1760</v>
      </c>
      <c r="F73" s="6">
        <v>7540</v>
      </c>
      <c r="G73" s="8" t="s">
        <v>33</v>
      </c>
      <c r="H73" s="5">
        <v>1</v>
      </c>
      <c r="I73" s="50">
        <f t="shared" si="1"/>
        <v>1666.76224</v>
      </c>
      <c r="J73" s="13" t="s">
        <v>36</v>
      </c>
    </row>
    <row r="74" ht="16.5" spans="1:10">
      <c r="A74" s="5">
        <v>42</v>
      </c>
      <c r="B74" s="5" t="s">
        <v>31</v>
      </c>
      <c r="C74" s="156" t="s">
        <v>32</v>
      </c>
      <c r="D74" s="6">
        <v>16</v>
      </c>
      <c r="E74" s="6">
        <v>1880</v>
      </c>
      <c r="F74" s="6">
        <v>10560</v>
      </c>
      <c r="G74" s="8" t="s">
        <v>33</v>
      </c>
      <c r="H74" s="5">
        <v>1</v>
      </c>
      <c r="I74" s="50">
        <f t="shared" si="1"/>
        <v>2493.51168</v>
      </c>
      <c r="J74" s="13" t="s">
        <v>36</v>
      </c>
    </row>
    <row r="75" ht="16.5" spans="1:10">
      <c r="A75" s="5">
        <v>43</v>
      </c>
      <c r="B75" s="5" t="s">
        <v>31</v>
      </c>
      <c r="C75" s="156" t="s">
        <v>32</v>
      </c>
      <c r="D75" s="6">
        <v>16</v>
      </c>
      <c r="E75" s="6">
        <v>1920</v>
      </c>
      <c r="F75" s="6">
        <v>12410</v>
      </c>
      <c r="G75" s="8" t="s">
        <v>33</v>
      </c>
      <c r="H75" s="5">
        <v>1</v>
      </c>
      <c r="I75" s="50">
        <f t="shared" si="1"/>
        <v>2992.69632</v>
      </c>
      <c r="J75" s="13" t="s">
        <v>36</v>
      </c>
    </row>
    <row r="76" ht="16.5" spans="1:10">
      <c r="A76" s="5">
        <v>54</v>
      </c>
      <c r="B76" s="5" t="s">
        <v>31</v>
      </c>
      <c r="C76" s="156" t="s">
        <v>32</v>
      </c>
      <c r="D76" s="6">
        <v>12</v>
      </c>
      <c r="E76" s="6">
        <v>1960</v>
      </c>
      <c r="F76" s="6">
        <v>6860</v>
      </c>
      <c r="G76" s="8" t="s">
        <v>33</v>
      </c>
      <c r="H76" s="5">
        <v>2</v>
      </c>
      <c r="I76" s="50">
        <f t="shared" si="1"/>
        <v>2533.15104</v>
      </c>
      <c r="J76" s="13" t="s">
        <v>15</v>
      </c>
    </row>
    <row r="77" ht="16.5" spans="1:10">
      <c r="A77" s="5">
        <v>55</v>
      </c>
      <c r="B77" s="5" t="s">
        <v>31</v>
      </c>
      <c r="C77" s="156" t="s">
        <v>32</v>
      </c>
      <c r="D77" s="6">
        <v>12</v>
      </c>
      <c r="E77" s="6">
        <v>1500</v>
      </c>
      <c r="F77" s="6">
        <v>8550</v>
      </c>
      <c r="G77" s="8" t="s">
        <v>33</v>
      </c>
      <c r="H77" s="5">
        <v>1</v>
      </c>
      <c r="I77" s="50">
        <f t="shared" si="1"/>
        <v>1208.115</v>
      </c>
      <c r="J77" s="13" t="s">
        <v>17</v>
      </c>
    </row>
    <row r="78" ht="16.5" spans="1:10">
      <c r="A78" s="5">
        <v>56</v>
      </c>
      <c r="B78" s="5" t="s">
        <v>31</v>
      </c>
      <c r="C78" s="156" t="s">
        <v>32</v>
      </c>
      <c r="D78" s="6">
        <v>12</v>
      </c>
      <c r="E78" s="6">
        <v>1960</v>
      </c>
      <c r="F78" s="6">
        <v>10030</v>
      </c>
      <c r="G78" s="8" t="s">
        <v>33</v>
      </c>
      <c r="H78" s="5">
        <v>2</v>
      </c>
      <c r="I78" s="50">
        <f t="shared" si="1"/>
        <v>3703.71792</v>
      </c>
      <c r="J78" s="13" t="s">
        <v>16</v>
      </c>
    </row>
    <row r="79" ht="16.5" spans="1:10">
      <c r="A79" s="5">
        <v>56</v>
      </c>
      <c r="B79" s="5" t="s">
        <v>31</v>
      </c>
      <c r="C79" s="156" t="s">
        <v>32</v>
      </c>
      <c r="D79" s="6">
        <v>12</v>
      </c>
      <c r="E79" s="6">
        <v>1960</v>
      </c>
      <c r="F79" s="6">
        <v>7550</v>
      </c>
      <c r="G79" s="8" t="s">
        <v>33</v>
      </c>
      <c r="H79" s="5">
        <v>1</v>
      </c>
      <c r="I79" s="50">
        <f t="shared" si="1"/>
        <v>1393.9716</v>
      </c>
      <c r="J79" s="13" t="s">
        <v>16</v>
      </c>
    </row>
    <row r="80" ht="16.5" spans="1:10">
      <c r="A80" s="5">
        <v>57</v>
      </c>
      <c r="B80" s="5" t="s">
        <v>31</v>
      </c>
      <c r="C80" s="156" t="s">
        <v>32</v>
      </c>
      <c r="D80" s="6">
        <v>16</v>
      </c>
      <c r="E80" s="6">
        <v>1950</v>
      </c>
      <c r="F80" s="60">
        <f>(241920+1000)/4/6</f>
        <v>10121.6666666667</v>
      </c>
      <c r="G80" s="8" t="s">
        <v>33</v>
      </c>
      <c r="H80" s="5">
        <v>6</v>
      </c>
      <c r="I80" s="50">
        <f t="shared" si="1"/>
        <v>14873.9916</v>
      </c>
      <c r="J80" s="13" t="s">
        <v>19</v>
      </c>
    </row>
    <row r="81" ht="16.5" spans="1:10">
      <c r="A81" s="5">
        <v>58</v>
      </c>
      <c r="B81" s="5" t="s">
        <v>31</v>
      </c>
      <c r="C81" s="156" t="s">
        <v>32</v>
      </c>
      <c r="D81" s="6">
        <v>16</v>
      </c>
      <c r="E81" s="60">
        <v>1720</v>
      </c>
      <c r="F81" s="50">
        <f>(483840+2000)/5/10</f>
        <v>9716.8</v>
      </c>
      <c r="G81" s="8" t="s">
        <v>33</v>
      </c>
      <c r="H81" s="5">
        <v>10</v>
      </c>
      <c r="I81" s="50">
        <f t="shared" si="1"/>
        <v>20991.397376</v>
      </c>
      <c r="J81" s="13" t="s">
        <v>14</v>
      </c>
    </row>
    <row r="82" ht="16.5" spans="1:10">
      <c r="A82" s="5">
        <v>59</v>
      </c>
      <c r="B82" s="5" t="s">
        <v>31</v>
      </c>
      <c r="C82" s="156" t="s">
        <v>32</v>
      </c>
      <c r="D82" s="6">
        <v>16</v>
      </c>
      <c r="E82" s="6">
        <v>1800</v>
      </c>
      <c r="F82" s="6">
        <v>12600</v>
      </c>
      <c r="G82" s="8" t="s">
        <v>33</v>
      </c>
      <c r="H82" s="5">
        <v>1</v>
      </c>
      <c r="I82" s="157">
        <f t="shared" si="1"/>
        <v>2848.608</v>
      </c>
      <c r="J82" s="13" t="s">
        <v>38</v>
      </c>
    </row>
    <row r="83" ht="16.5" spans="1:10">
      <c r="A83" s="5">
        <v>60</v>
      </c>
      <c r="B83" s="5" t="s">
        <v>31</v>
      </c>
      <c r="C83" s="156" t="s">
        <v>32</v>
      </c>
      <c r="D83" s="6">
        <v>16</v>
      </c>
      <c r="E83" s="6">
        <v>2000</v>
      </c>
      <c r="F83" s="6">
        <v>7230</v>
      </c>
      <c r="G83" s="8" t="s">
        <v>33</v>
      </c>
      <c r="H83" s="5">
        <v>1</v>
      </c>
      <c r="I83" s="157">
        <f t="shared" si="1"/>
        <v>1816.176</v>
      </c>
      <c r="J83" s="13" t="s">
        <v>38</v>
      </c>
    </row>
    <row r="84" ht="16.5" spans="1:10">
      <c r="A84" s="5">
        <v>60</v>
      </c>
      <c r="B84" s="5" t="s">
        <v>31</v>
      </c>
      <c r="C84" s="156" t="s">
        <v>32</v>
      </c>
      <c r="D84" s="6">
        <v>16</v>
      </c>
      <c r="E84" s="6">
        <v>2000</v>
      </c>
      <c r="F84" s="6">
        <v>6900</v>
      </c>
      <c r="G84" s="8" t="s">
        <v>33</v>
      </c>
      <c r="H84" s="5">
        <v>1</v>
      </c>
      <c r="I84" s="157">
        <f t="shared" si="1"/>
        <v>1733.28</v>
      </c>
      <c r="J84" s="13" t="s">
        <v>38</v>
      </c>
    </row>
    <row r="85" ht="16.5" spans="1:10">
      <c r="A85" s="5">
        <v>56</v>
      </c>
      <c r="B85" s="5" t="s">
        <v>31</v>
      </c>
      <c r="C85" s="156" t="s">
        <v>32</v>
      </c>
      <c r="D85" s="6">
        <v>12</v>
      </c>
      <c r="E85" s="6">
        <v>2000</v>
      </c>
      <c r="F85" s="6">
        <v>10000</v>
      </c>
      <c r="G85" s="8" t="s">
        <v>33</v>
      </c>
      <c r="H85" s="5">
        <v>1</v>
      </c>
      <c r="I85" s="50">
        <f t="shared" si="1"/>
        <v>1884</v>
      </c>
      <c r="J85" s="13" t="s">
        <v>52</v>
      </c>
    </row>
    <row r="86" ht="16.5" spans="1:10">
      <c r="A86" s="5">
        <v>57</v>
      </c>
      <c r="B86" s="5" t="s">
        <v>31</v>
      </c>
      <c r="C86" s="156" t="s">
        <v>32</v>
      </c>
      <c r="D86" s="6">
        <v>16</v>
      </c>
      <c r="E86" s="6">
        <v>2000</v>
      </c>
      <c r="F86" s="60">
        <f>10000</f>
        <v>10000</v>
      </c>
      <c r="G86" s="8" t="s">
        <v>33</v>
      </c>
      <c r="H86" s="5">
        <v>1</v>
      </c>
      <c r="I86" s="50">
        <f t="shared" si="1"/>
        <v>2512</v>
      </c>
      <c r="J86" s="13" t="s">
        <v>52</v>
      </c>
    </row>
    <row r="87" ht="16.5" spans="1:12">
      <c r="A87" s="5" t="s">
        <v>40</v>
      </c>
      <c r="B87" s="5"/>
      <c r="C87" s="5"/>
      <c r="D87" s="5"/>
      <c r="E87" s="5"/>
      <c r="F87" s="5"/>
      <c r="G87" s="5"/>
      <c r="H87" s="5"/>
      <c r="I87" s="50">
        <f>SUM(I5:I86)</f>
        <v>194785.687376</v>
      </c>
      <c r="J87" s="13"/>
      <c r="K87">
        <v>186770.99</v>
      </c>
      <c r="L87">
        <f>(I87-K87)/K87</f>
        <v>0.0429118964138915</v>
      </c>
    </row>
    <row r="88" ht="16.5" spans="1:10">
      <c r="A88" s="22" t="s">
        <v>41</v>
      </c>
      <c r="B88" s="22"/>
      <c r="C88" s="22"/>
      <c r="D88" s="22"/>
      <c r="E88" s="22"/>
      <c r="F88" s="22"/>
      <c r="G88" s="22"/>
      <c r="H88" s="22"/>
      <c r="I88" s="22"/>
      <c r="J88" s="22"/>
    </row>
    <row r="89" ht="16.5" spans="1:10">
      <c r="A89" s="22" t="s">
        <v>53</v>
      </c>
      <c r="B89" s="22"/>
      <c r="C89" s="22"/>
      <c r="D89" s="22"/>
      <c r="E89" s="22"/>
      <c r="F89" s="22"/>
      <c r="G89" s="22"/>
      <c r="H89" s="22"/>
      <c r="I89" s="22"/>
      <c r="J89" s="22"/>
    </row>
    <row r="90" ht="16.5" spans="1:10">
      <c r="A90" s="16" t="s">
        <v>43</v>
      </c>
      <c r="B90" s="16"/>
      <c r="C90" s="16"/>
      <c r="D90" s="16"/>
      <c r="E90" s="16"/>
      <c r="F90" s="16"/>
      <c r="G90" s="16"/>
      <c r="H90" s="16"/>
      <c r="I90" s="16"/>
      <c r="J90" s="16"/>
    </row>
  </sheetData>
  <autoFilter ref="A4:L90">
    <extLst/>
  </autoFilter>
  <mergeCells count="6">
    <mergeCell ref="A1:J1"/>
    <mergeCell ref="A2:F2"/>
    <mergeCell ref="A87:H87"/>
    <mergeCell ref="A88:J88"/>
    <mergeCell ref="A89:J89"/>
    <mergeCell ref="A90:J90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I11"/>
  <sheetViews>
    <sheetView workbookViewId="0">
      <selection activeCell="F21" sqref="F21"/>
    </sheetView>
  </sheetViews>
  <sheetFormatPr defaultColWidth="9" defaultRowHeight="13.5"/>
  <cols>
    <col min="1" max="2" width="9" style="12"/>
    <col min="3" max="5" width="15.25" style="12" customWidth="1"/>
    <col min="6" max="6" width="15.25" style="150" customWidth="1"/>
    <col min="7" max="8" width="15.25" style="12" customWidth="1"/>
    <col min="9" max="9" width="15.25" style="150" customWidth="1"/>
    <col min="10" max="16384" width="9" style="12"/>
  </cols>
  <sheetData>
    <row r="1" ht="28.5" customHeight="1" spans="1:9">
      <c r="A1" s="151" t="s">
        <v>54</v>
      </c>
      <c r="B1" s="151"/>
      <c r="C1" s="151"/>
      <c r="D1" s="151"/>
      <c r="E1" s="151"/>
      <c r="F1" s="151"/>
      <c r="G1" s="151"/>
      <c r="H1" s="151"/>
      <c r="I1" s="151"/>
    </row>
    <row r="2" ht="23.25" customHeight="1" spans="1:9">
      <c r="A2" s="152" t="s">
        <v>55</v>
      </c>
      <c r="B2" s="153" t="s">
        <v>24</v>
      </c>
      <c r="C2" s="152" t="s">
        <v>56</v>
      </c>
      <c r="D2" s="152" t="s">
        <v>57</v>
      </c>
      <c r="E2" s="152"/>
      <c r="F2" s="152"/>
      <c r="G2" s="152" t="s">
        <v>58</v>
      </c>
      <c r="H2" s="49"/>
      <c r="I2" s="49"/>
    </row>
    <row r="3" ht="30" customHeight="1" spans="1:9">
      <c r="A3" s="152"/>
      <c r="B3" s="154"/>
      <c r="C3" s="152"/>
      <c r="D3" s="152" t="s">
        <v>59</v>
      </c>
      <c r="E3" s="152" t="s">
        <v>60</v>
      </c>
      <c r="F3" s="155" t="s">
        <v>61</v>
      </c>
      <c r="G3" s="152" t="s">
        <v>59</v>
      </c>
      <c r="H3" s="152" t="s">
        <v>60</v>
      </c>
      <c r="I3" s="155" t="s">
        <v>61</v>
      </c>
    </row>
    <row r="4" ht="30" customHeight="1" spans="1:9">
      <c r="A4" s="152" t="s">
        <v>62</v>
      </c>
      <c r="B4" s="152" t="s">
        <v>32</v>
      </c>
      <c r="C4" s="152">
        <v>149600</v>
      </c>
      <c r="D4" s="152">
        <v>71</v>
      </c>
      <c r="E4" s="152">
        <v>155980.1</v>
      </c>
      <c r="F4" s="155">
        <v>0.042</v>
      </c>
      <c r="G4" s="49">
        <v>71</v>
      </c>
      <c r="H4" s="49">
        <v>161169.2</v>
      </c>
      <c r="I4" s="155">
        <v>0.077</v>
      </c>
    </row>
    <row r="5" ht="30" customHeight="1" spans="1:9">
      <c r="A5" s="152" t="s">
        <v>63</v>
      </c>
      <c r="B5" s="152" t="s">
        <v>32</v>
      </c>
      <c r="C5" s="152">
        <v>175711</v>
      </c>
      <c r="D5" s="152">
        <v>95</v>
      </c>
      <c r="E5" s="152">
        <v>183804.7</v>
      </c>
      <c r="F5" s="155">
        <v>0.046</v>
      </c>
      <c r="G5" s="49">
        <v>95</v>
      </c>
      <c r="H5" s="49">
        <v>189589.9</v>
      </c>
      <c r="I5" s="155">
        <v>0.079</v>
      </c>
    </row>
    <row r="6" ht="30" customHeight="1" spans="1:9">
      <c r="A6" s="152" t="s">
        <v>64</v>
      </c>
      <c r="B6" s="152" t="s">
        <v>32</v>
      </c>
      <c r="C6" s="152">
        <v>151377</v>
      </c>
      <c r="D6" s="152">
        <v>74</v>
      </c>
      <c r="E6" s="152">
        <v>157484.9</v>
      </c>
      <c r="F6" s="155">
        <v>0.04</v>
      </c>
      <c r="G6" s="49">
        <v>74</v>
      </c>
      <c r="H6" s="49">
        <v>161574.8</v>
      </c>
      <c r="I6" s="155">
        <v>0.067</v>
      </c>
    </row>
    <row r="7" ht="30" customHeight="1" spans="1:9">
      <c r="A7" s="152" t="s">
        <v>65</v>
      </c>
      <c r="B7" s="152" t="s">
        <v>32</v>
      </c>
      <c r="C7" s="152">
        <v>113304</v>
      </c>
      <c r="D7" s="152">
        <v>61</v>
      </c>
      <c r="E7" s="152">
        <v>118466.3</v>
      </c>
      <c r="F7" s="155">
        <v>0.045</v>
      </c>
      <c r="G7" s="49">
        <v>61</v>
      </c>
      <c r="H7" s="49">
        <v>121052.1</v>
      </c>
      <c r="I7" s="155">
        <v>0.068</v>
      </c>
    </row>
    <row r="8" ht="30" customHeight="1" spans="1:9">
      <c r="A8" s="152" t="s">
        <v>66</v>
      </c>
      <c r="B8" s="152" t="s">
        <v>32</v>
      </c>
      <c r="C8" s="152">
        <v>187035</v>
      </c>
      <c r="D8" s="152">
        <v>105</v>
      </c>
      <c r="E8" s="152">
        <v>195387.2</v>
      </c>
      <c r="F8" s="155">
        <v>0.045</v>
      </c>
      <c r="G8" s="49">
        <v>105</v>
      </c>
      <c r="H8" s="49">
        <v>200526.9</v>
      </c>
      <c r="I8" s="155">
        <v>0.072</v>
      </c>
    </row>
    <row r="9" ht="30" customHeight="1" spans="1:9">
      <c r="A9" s="152" t="s">
        <v>67</v>
      </c>
      <c r="B9" s="152" t="s">
        <v>32</v>
      </c>
      <c r="C9" s="49">
        <v>186771</v>
      </c>
      <c r="D9" s="49">
        <v>98</v>
      </c>
      <c r="E9" s="49">
        <v>194631.2</v>
      </c>
      <c r="F9" s="155">
        <v>0.042</v>
      </c>
      <c r="G9" s="49">
        <v>98</v>
      </c>
      <c r="H9" s="49">
        <v>199583.9</v>
      </c>
      <c r="I9" s="155">
        <v>0.068</v>
      </c>
    </row>
    <row r="10" ht="26.25" customHeight="1" spans="1:9">
      <c r="A10" s="152" t="s">
        <v>40</v>
      </c>
      <c r="B10" s="152"/>
      <c r="C10" s="49">
        <f>SUM(C4:C9)</f>
        <v>963798</v>
      </c>
      <c r="D10" s="49">
        <f t="shared" ref="D10:H10" si="0">SUM(D4:D9)</f>
        <v>504</v>
      </c>
      <c r="E10" s="49">
        <f t="shared" si="0"/>
        <v>1005754.4</v>
      </c>
      <c r="F10" s="155"/>
      <c r="G10" s="49">
        <f t="shared" si="0"/>
        <v>504</v>
      </c>
      <c r="H10" s="49">
        <f t="shared" si="0"/>
        <v>1033496.8</v>
      </c>
      <c r="I10" s="155"/>
    </row>
    <row r="11" ht="27" customHeight="1" spans="6:9">
      <c r="F11" s="150">
        <v>0.043</v>
      </c>
      <c r="H11" s="12">
        <f>H10-E10</f>
        <v>27742.3999999999</v>
      </c>
      <c r="I11" s="150">
        <v>0.072</v>
      </c>
    </row>
  </sheetData>
  <mergeCells count="6">
    <mergeCell ref="A1:I1"/>
    <mergeCell ref="D2:F2"/>
    <mergeCell ref="G2:I2"/>
    <mergeCell ref="A2:A3"/>
    <mergeCell ref="B2:B3"/>
    <mergeCell ref="C2:C3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pageSetUpPr fitToPage="1"/>
  </sheetPr>
  <dimension ref="A1:L64"/>
  <sheetViews>
    <sheetView workbookViewId="0">
      <selection activeCell="L24" sqref="L24"/>
    </sheetView>
  </sheetViews>
  <sheetFormatPr defaultColWidth="9" defaultRowHeight="13.5"/>
  <cols>
    <col min="1" max="2" width="8.625" customWidth="1"/>
    <col min="3" max="3" width="10.375" customWidth="1"/>
    <col min="4" max="6" width="11" customWidth="1"/>
    <col min="7" max="8" width="8.625" customWidth="1"/>
    <col min="9" max="9" width="12.875" style="147" customWidth="1"/>
    <col min="10" max="10" width="11.625" customWidth="1"/>
    <col min="11" max="11" width="10" customWidth="1"/>
    <col min="12" max="12" width="12.625"/>
  </cols>
  <sheetData>
    <row r="1" ht="28.5" customHeight="1" spans="1:10">
      <c r="A1" s="15" t="s">
        <v>68</v>
      </c>
      <c r="B1" s="15"/>
      <c r="C1" s="15"/>
      <c r="D1" s="15"/>
      <c r="E1" s="15"/>
      <c r="F1" s="15"/>
      <c r="G1" s="15"/>
      <c r="H1" s="15"/>
      <c r="I1" s="23"/>
      <c r="J1" s="15"/>
    </row>
    <row r="2" ht="28.5" customHeight="1" spans="1:10">
      <c r="A2" s="15" t="s">
        <v>20</v>
      </c>
      <c r="B2" s="15"/>
      <c r="C2" s="15"/>
      <c r="D2" s="15"/>
      <c r="E2" s="15"/>
      <c r="F2" s="15"/>
      <c r="G2" s="15"/>
      <c r="H2" s="15"/>
      <c r="I2" s="15"/>
      <c r="J2" s="15"/>
    </row>
    <row r="3" ht="22.5" customHeight="1" spans="1:10">
      <c r="A3" s="16" t="s">
        <v>21</v>
      </c>
      <c r="B3" s="17"/>
      <c r="C3" s="17"/>
      <c r="D3" s="17"/>
      <c r="E3" s="17"/>
      <c r="F3" s="17"/>
      <c r="G3" s="17"/>
      <c r="H3" s="17"/>
      <c r="I3" s="44"/>
      <c r="J3" s="26"/>
    </row>
    <row r="4" ht="22.5" customHeight="1" spans="1:10">
      <c r="A4" s="18" t="s">
        <v>22</v>
      </c>
      <c r="B4" s="19"/>
      <c r="C4" s="19"/>
      <c r="D4" s="17"/>
      <c r="E4" s="19"/>
      <c r="F4" s="19"/>
      <c r="G4" s="17"/>
      <c r="H4" s="17"/>
      <c r="I4" s="45"/>
      <c r="J4" s="26"/>
    </row>
    <row r="5" ht="22.5" customHeight="1" spans="1:10">
      <c r="A5" s="1" t="s">
        <v>23</v>
      </c>
      <c r="B5" s="1" t="s">
        <v>0</v>
      </c>
      <c r="C5" s="2" t="s">
        <v>24</v>
      </c>
      <c r="D5" s="2" t="s">
        <v>25</v>
      </c>
      <c r="E5" s="2" t="s">
        <v>26</v>
      </c>
      <c r="F5" s="2" t="s">
        <v>27</v>
      </c>
      <c r="G5" s="3" t="s">
        <v>28</v>
      </c>
      <c r="H5" s="2" t="s">
        <v>3</v>
      </c>
      <c r="I5" s="4" t="s">
        <v>29</v>
      </c>
      <c r="J5" s="11" t="s">
        <v>30</v>
      </c>
    </row>
    <row r="6" ht="22.5" customHeight="1" spans="1:12">
      <c r="A6" s="5">
        <v>1</v>
      </c>
      <c r="B6" s="5" t="s">
        <v>31</v>
      </c>
      <c r="C6" s="6" t="s">
        <v>32</v>
      </c>
      <c r="D6" s="6">
        <v>12</v>
      </c>
      <c r="E6" s="49">
        <v>1800</v>
      </c>
      <c r="F6" s="6">
        <v>6390</v>
      </c>
      <c r="G6" s="8" t="s">
        <v>33</v>
      </c>
      <c r="H6" s="5">
        <v>1</v>
      </c>
      <c r="I6" s="9">
        <f t="shared" ref="I6:I37" si="0">E6*F6*D6*H6*7.85/1000000</f>
        <v>1083.4884</v>
      </c>
      <c r="J6" s="13" t="s">
        <v>17</v>
      </c>
      <c r="K6" s="33" t="s">
        <v>69</v>
      </c>
      <c r="L6" s="33">
        <v>1</v>
      </c>
    </row>
    <row r="7" ht="22.5" customHeight="1" spans="1:12">
      <c r="A7" s="5">
        <v>2</v>
      </c>
      <c r="B7" s="5" t="s">
        <v>31</v>
      </c>
      <c r="C7" s="6" t="s">
        <v>32</v>
      </c>
      <c r="D7" s="6">
        <v>12</v>
      </c>
      <c r="E7" s="49">
        <v>2000</v>
      </c>
      <c r="F7" s="6">
        <v>10020</v>
      </c>
      <c r="G7" s="8" t="s">
        <v>33</v>
      </c>
      <c r="H7" s="5">
        <v>2</v>
      </c>
      <c r="I7" s="9">
        <f t="shared" si="0"/>
        <v>3775.536</v>
      </c>
      <c r="J7" s="13" t="s">
        <v>16</v>
      </c>
      <c r="K7" s="33" t="s">
        <v>70</v>
      </c>
      <c r="L7" s="33">
        <v>2</v>
      </c>
    </row>
    <row r="8" ht="22.5" customHeight="1" spans="1:12">
      <c r="A8" s="5">
        <v>3</v>
      </c>
      <c r="B8" s="5" t="s">
        <v>31</v>
      </c>
      <c r="C8" s="6" t="s">
        <v>32</v>
      </c>
      <c r="D8" s="6">
        <v>12</v>
      </c>
      <c r="E8" s="49">
        <v>2000</v>
      </c>
      <c r="F8" s="6">
        <v>11420</v>
      </c>
      <c r="G8" s="8" t="s">
        <v>33</v>
      </c>
      <c r="H8" s="5">
        <v>1</v>
      </c>
      <c r="I8" s="9">
        <f t="shared" si="0"/>
        <v>2151.528</v>
      </c>
      <c r="J8" s="13" t="s">
        <v>15</v>
      </c>
      <c r="K8" s="33" t="s">
        <v>71</v>
      </c>
      <c r="L8" s="33">
        <v>1</v>
      </c>
    </row>
    <row r="9" ht="22.5" customHeight="1" spans="1:11">
      <c r="A9" s="5">
        <v>4</v>
      </c>
      <c r="B9" s="5" t="s">
        <v>31</v>
      </c>
      <c r="C9" s="6" t="s">
        <v>32</v>
      </c>
      <c r="D9" s="6">
        <v>16</v>
      </c>
      <c r="E9" s="49">
        <v>1500</v>
      </c>
      <c r="F9" s="6">
        <v>6240</v>
      </c>
      <c r="G9" s="8" t="s">
        <v>33</v>
      </c>
      <c r="H9" s="5">
        <v>1</v>
      </c>
      <c r="I9" s="9">
        <f t="shared" si="0"/>
        <v>1175.616</v>
      </c>
      <c r="J9" s="13" t="s">
        <v>34</v>
      </c>
      <c r="K9" t="s">
        <v>72</v>
      </c>
    </row>
    <row r="10" ht="22.5" customHeight="1" spans="1:11">
      <c r="A10" s="5">
        <v>5</v>
      </c>
      <c r="B10" s="5" t="s">
        <v>31</v>
      </c>
      <c r="C10" s="6" t="s">
        <v>32</v>
      </c>
      <c r="D10" s="6">
        <v>16</v>
      </c>
      <c r="E10" s="49">
        <v>1500</v>
      </c>
      <c r="F10" s="6">
        <v>8050</v>
      </c>
      <c r="G10" s="8" t="s">
        <v>33</v>
      </c>
      <c r="H10" s="5">
        <v>1</v>
      </c>
      <c r="I10" s="9">
        <f t="shared" si="0"/>
        <v>1516.62</v>
      </c>
      <c r="J10" s="13" t="s">
        <v>34</v>
      </c>
      <c r="K10" t="s">
        <v>72</v>
      </c>
    </row>
    <row r="11" ht="22.5" customHeight="1" spans="1:11">
      <c r="A11" s="5">
        <v>6</v>
      </c>
      <c r="B11" s="5" t="s">
        <v>31</v>
      </c>
      <c r="C11" s="6" t="s">
        <v>32</v>
      </c>
      <c r="D11" s="6">
        <v>16</v>
      </c>
      <c r="E11" s="49">
        <v>1500.00000000107</v>
      </c>
      <c r="F11" s="6">
        <v>7650</v>
      </c>
      <c r="G11" s="8" t="s">
        <v>33</v>
      </c>
      <c r="H11" s="5">
        <v>1</v>
      </c>
      <c r="I11" s="9">
        <f t="shared" si="0"/>
        <v>1441.26000000103</v>
      </c>
      <c r="J11" s="13" t="s">
        <v>11</v>
      </c>
      <c r="K11" t="s">
        <v>72</v>
      </c>
    </row>
    <row r="12" ht="22.5" customHeight="1" spans="1:11">
      <c r="A12" s="5">
        <v>7</v>
      </c>
      <c r="B12" s="5" t="s">
        <v>31</v>
      </c>
      <c r="C12" s="6" t="s">
        <v>32</v>
      </c>
      <c r="D12" s="6">
        <v>16</v>
      </c>
      <c r="E12" s="49">
        <v>1800</v>
      </c>
      <c r="F12" s="6">
        <v>8130</v>
      </c>
      <c r="G12" s="8" t="s">
        <v>33</v>
      </c>
      <c r="H12" s="5">
        <v>1</v>
      </c>
      <c r="I12" s="9">
        <f t="shared" si="0"/>
        <v>1838.0304</v>
      </c>
      <c r="J12" s="13" t="s">
        <v>34</v>
      </c>
      <c r="K12" t="s">
        <v>72</v>
      </c>
    </row>
    <row r="13" ht="22.5" customHeight="1" spans="1:11">
      <c r="A13" s="5">
        <v>8</v>
      </c>
      <c r="B13" s="5" t="s">
        <v>31</v>
      </c>
      <c r="C13" s="6" t="s">
        <v>32</v>
      </c>
      <c r="D13" s="6">
        <v>16</v>
      </c>
      <c r="E13" s="49">
        <v>1800</v>
      </c>
      <c r="F13" s="6">
        <v>8130</v>
      </c>
      <c r="G13" s="8" t="s">
        <v>33</v>
      </c>
      <c r="H13" s="5">
        <v>1</v>
      </c>
      <c r="I13" s="9">
        <f t="shared" si="0"/>
        <v>1838.0304</v>
      </c>
      <c r="J13" s="13" t="s">
        <v>34</v>
      </c>
      <c r="K13" t="s">
        <v>72</v>
      </c>
    </row>
    <row r="14" ht="22.5" customHeight="1" spans="1:11">
      <c r="A14" s="5">
        <v>9</v>
      </c>
      <c r="B14" s="5" t="s">
        <v>31</v>
      </c>
      <c r="C14" s="6" t="s">
        <v>32</v>
      </c>
      <c r="D14" s="6">
        <v>16</v>
      </c>
      <c r="E14" s="49">
        <v>1800</v>
      </c>
      <c r="F14" s="6">
        <v>11880</v>
      </c>
      <c r="G14" s="8" t="s">
        <v>33</v>
      </c>
      <c r="H14" s="5">
        <v>1</v>
      </c>
      <c r="I14" s="9">
        <f t="shared" si="0"/>
        <v>2685.8304</v>
      </c>
      <c r="J14" s="13" t="s">
        <v>34</v>
      </c>
      <c r="K14" t="s">
        <v>72</v>
      </c>
    </row>
    <row r="15" ht="22.5" customHeight="1" spans="1:11">
      <c r="A15" s="5">
        <v>10</v>
      </c>
      <c r="B15" s="5" t="s">
        <v>31</v>
      </c>
      <c r="C15" s="6" t="s">
        <v>32</v>
      </c>
      <c r="D15" s="6">
        <v>16</v>
      </c>
      <c r="E15" s="49">
        <v>1800</v>
      </c>
      <c r="F15" s="6">
        <v>9800</v>
      </c>
      <c r="G15" s="8" t="s">
        <v>33</v>
      </c>
      <c r="H15" s="5">
        <v>8</v>
      </c>
      <c r="I15" s="9">
        <f t="shared" si="0"/>
        <v>17724.672</v>
      </c>
      <c r="J15" s="13" t="s">
        <v>14</v>
      </c>
      <c r="K15" t="s">
        <v>72</v>
      </c>
    </row>
    <row r="16" ht="22.5" customHeight="1" spans="1:11">
      <c r="A16" s="5">
        <v>11</v>
      </c>
      <c r="B16" s="5" t="s">
        <v>31</v>
      </c>
      <c r="C16" s="6" t="s">
        <v>32</v>
      </c>
      <c r="D16" s="6">
        <v>16</v>
      </c>
      <c r="E16" s="49">
        <v>1800</v>
      </c>
      <c r="F16" s="6">
        <v>8070</v>
      </c>
      <c r="G16" s="8" t="s">
        <v>33</v>
      </c>
      <c r="H16" s="5">
        <v>1</v>
      </c>
      <c r="I16" s="9">
        <f t="shared" si="0"/>
        <v>1824.4656</v>
      </c>
      <c r="J16" s="13" t="s">
        <v>36</v>
      </c>
      <c r="K16" t="s">
        <v>72</v>
      </c>
    </row>
    <row r="17" ht="22.5" customHeight="1" spans="1:11">
      <c r="A17" s="5">
        <v>12</v>
      </c>
      <c r="B17" s="5" t="s">
        <v>31</v>
      </c>
      <c r="C17" s="6" t="s">
        <v>32</v>
      </c>
      <c r="D17" s="6">
        <v>16</v>
      </c>
      <c r="E17" s="49">
        <v>1800</v>
      </c>
      <c r="F17" s="6">
        <v>8020</v>
      </c>
      <c r="G17" s="8" t="s">
        <v>33</v>
      </c>
      <c r="H17" s="5">
        <v>1</v>
      </c>
      <c r="I17" s="9">
        <f t="shared" si="0"/>
        <v>1813.1616</v>
      </c>
      <c r="J17" s="13" t="s">
        <v>36</v>
      </c>
      <c r="K17" t="s">
        <v>72</v>
      </c>
    </row>
    <row r="18" ht="22.5" customHeight="1" spans="1:11">
      <c r="A18" s="5">
        <v>13</v>
      </c>
      <c r="B18" s="5" t="s">
        <v>31</v>
      </c>
      <c r="C18" s="6" t="s">
        <v>32</v>
      </c>
      <c r="D18" s="6">
        <v>16</v>
      </c>
      <c r="E18" s="49">
        <v>1800</v>
      </c>
      <c r="F18" s="6">
        <v>8030</v>
      </c>
      <c r="G18" s="8" t="s">
        <v>33</v>
      </c>
      <c r="H18" s="5">
        <v>1</v>
      </c>
      <c r="I18" s="9">
        <f t="shared" si="0"/>
        <v>1815.4224</v>
      </c>
      <c r="J18" s="13" t="s">
        <v>34</v>
      </c>
      <c r="K18" t="s">
        <v>72</v>
      </c>
    </row>
    <row r="19" ht="22.5" customHeight="1" spans="1:11">
      <c r="A19" s="5">
        <v>14</v>
      </c>
      <c r="B19" s="5" t="s">
        <v>31</v>
      </c>
      <c r="C19" s="6" t="s">
        <v>32</v>
      </c>
      <c r="D19" s="6">
        <v>16</v>
      </c>
      <c r="E19" s="49">
        <v>1800</v>
      </c>
      <c r="F19" s="6">
        <v>7890</v>
      </c>
      <c r="G19" s="8" t="s">
        <v>33</v>
      </c>
      <c r="H19" s="5">
        <v>1</v>
      </c>
      <c r="I19" s="9">
        <f t="shared" si="0"/>
        <v>1783.7712</v>
      </c>
      <c r="J19" s="13" t="s">
        <v>36</v>
      </c>
      <c r="K19" t="s">
        <v>72</v>
      </c>
    </row>
    <row r="20" ht="22.5" customHeight="1" spans="1:11">
      <c r="A20" s="5">
        <v>15</v>
      </c>
      <c r="B20" s="5" t="s">
        <v>31</v>
      </c>
      <c r="C20" s="6" t="s">
        <v>32</v>
      </c>
      <c r="D20" s="6">
        <v>16</v>
      </c>
      <c r="E20" s="49">
        <v>1800</v>
      </c>
      <c r="F20" s="6">
        <v>11450</v>
      </c>
      <c r="G20" s="8" t="s">
        <v>33</v>
      </c>
      <c r="H20" s="5">
        <v>1</v>
      </c>
      <c r="I20" s="9">
        <f t="shared" si="0"/>
        <v>2588.616</v>
      </c>
      <c r="J20" s="13" t="s">
        <v>36</v>
      </c>
      <c r="K20" t="s">
        <v>72</v>
      </c>
    </row>
    <row r="21" ht="22.5" customHeight="1" spans="1:11">
      <c r="A21" s="5">
        <v>16</v>
      </c>
      <c r="B21" s="5" t="s">
        <v>31</v>
      </c>
      <c r="C21" s="6" t="s">
        <v>32</v>
      </c>
      <c r="D21" s="6">
        <v>16</v>
      </c>
      <c r="E21" s="49">
        <v>1800</v>
      </c>
      <c r="F21" s="6">
        <v>5930</v>
      </c>
      <c r="G21" s="8" t="s">
        <v>33</v>
      </c>
      <c r="H21" s="5">
        <v>1</v>
      </c>
      <c r="I21" s="9">
        <f t="shared" si="0"/>
        <v>1340.6544</v>
      </c>
      <c r="J21" s="13" t="s">
        <v>11</v>
      </c>
      <c r="K21" t="s">
        <v>72</v>
      </c>
    </row>
    <row r="22" ht="22.5" customHeight="1" spans="1:11">
      <c r="A22" s="5">
        <v>17</v>
      </c>
      <c r="B22" s="5" t="s">
        <v>31</v>
      </c>
      <c r="C22" s="6" t="s">
        <v>32</v>
      </c>
      <c r="D22" s="6">
        <v>16</v>
      </c>
      <c r="E22" s="49">
        <v>1800</v>
      </c>
      <c r="F22" s="6">
        <v>8060</v>
      </c>
      <c r="G22" s="8" t="s">
        <v>33</v>
      </c>
      <c r="H22" s="5">
        <v>1</v>
      </c>
      <c r="I22" s="9">
        <f t="shared" si="0"/>
        <v>1822.2048</v>
      </c>
      <c r="J22" s="13" t="s">
        <v>34</v>
      </c>
      <c r="K22" t="s">
        <v>72</v>
      </c>
    </row>
    <row r="23" ht="22.5" customHeight="1" spans="1:11">
      <c r="A23" s="5">
        <v>18</v>
      </c>
      <c r="B23" s="5" t="s">
        <v>31</v>
      </c>
      <c r="C23" s="6" t="s">
        <v>32</v>
      </c>
      <c r="D23" s="6">
        <v>16</v>
      </c>
      <c r="E23" s="49">
        <v>1800</v>
      </c>
      <c r="F23" s="6">
        <v>8070</v>
      </c>
      <c r="G23" s="8" t="s">
        <v>33</v>
      </c>
      <c r="H23" s="5">
        <v>1</v>
      </c>
      <c r="I23" s="9">
        <f t="shared" si="0"/>
        <v>1824.4656</v>
      </c>
      <c r="J23" s="13" t="s">
        <v>34</v>
      </c>
      <c r="K23" t="s">
        <v>72</v>
      </c>
    </row>
    <row r="24" ht="22.5" customHeight="1" spans="1:11">
      <c r="A24" s="5">
        <v>19</v>
      </c>
      <c r="B24" s="5" t="s">
        <v>31</v>
      </c>
      <c r="C24" s="6" t="s">
        <v>32</v>
      </c>
      <c r="D24" s="6">
        <v>16</v>
      </c>
      <c r="E24" s="49">
        <v>1800</v>
      </c>
      <c r="F24" s="6">
        <v>8080</v>
      </c>
      <c r="G24" s="8" t="s">
        <v>33</v>
      </c>
      <c r="H24" s="5">
        <v>1</v>
      </c>
      <c r="I24" s="9">
        <f t="shared" si="0"/>
        <v>1826.7264</v>
      </c>
      <c r="J24" s="13" t="s">
        <v>34</v>
      </c>
      <c r="K24" t="s">
        <v>72</v>
      </c>
    </row>
    <row r="25" ht="22.5" customHeight="1" spans="1:11">
      <c r="A25" s="5">
        <v>20</v>
      </c>
      <c r="B25" s="5" t="s">
        <v>31</v>
      </c>
      <c r="C25" s="6" t="s">
        <v>32</v>
      </c>
      <c r="D25" s="6">
        <v>16</v>
      </c>
      <c r="E25" s="49">
        <v>1800</v>
      </c>
      <c r="F25" s="6">
        <v>8100</v>
      </c>
      <c r="G25" s="8" t="s">
        <v>33</v>
      </c>
      <c r="H25" s="5">
        <v>1</v>
      </c>
      <c r="I25" s="9">
        <f t="shared" si="0"/>
        <v>1831.248</v>
      </c>
      <c r="J25" s="13" t="s">
        <v>34</v>
      </c>
      <c r="K25" t="s">
        <v>72</v>
      </c>
    </row>
    <row r="26" ht="22.5" customHeight="1" spans="1:11">
      <c r="A26" s="5">
        <v>21</v>
      </c>
      <c r="B26" s="5" t="s">
        <v>31</v>
      </c>
      <c r="C26" s="6" t="s">
        <v>32</v>
      </c>
      <c r="D26" s="6">
        <v>16</v>
      </c>
      <c r="E26" s="49">
        <v>1800</v>
      </c>
      <c r="F26" s="6">
        <v>8140</v>
      </c>
      <c r="G26" s="8" t="s">
        <v>33</v>
      </c>
      <c r="H26" s="5">
        <v>1</v>
      </c>
      <c r="I26" s="9">
        <f t="shared" si="0"/>
        <v>1840.2912</v>
      </c>
      <c r="J26" s="13" t="s">
        <v>34</v>
      </c>
      <c r="K26" t="s">
        <v>72</v>
      </c>
    </row>
    <row r="27" ht="22.5" customHeight="1" spans="1:11">
      <c r="A27" s="5">
        <v>22</v>
      </c>
      <c r="B27" s="5" t="s">
        <v>31</v>
      </c>
      <c r="C27" s="6" t="s">
        <v>32</v>
      </c>
      <c r="D27" s="6">
        <v>16</v>
      </c>
      <c r="E27" s="49">
        <v>1800</v>
      </c>
      <c r="F27" s="6">
        <v>8240</v>
      </c>
      <c r="G27" s="8" t="s">
        <v>33</v>
      </c>
      <c r="H27" s="5">
        <v>1</v>
      </c>
      <c r="I27" s="9">
        <f t="shared" si="0"/>
        <v>1862.8992</v>
      </c>
      <c r="J27" s="13" t="s">
        <v>34</v>
      </c>
      <c r="K27" t="s">
        <v>72</v>
      </c>
    </row>
    <row r="28" ht="22.5" customHeight="1" spans="1:11">
      <c r="A28" s="5">
        <v>23</v>
      </c>
      <c r="B28" s="5" t="s">
        <v>31</v>
      </c>
      <c r="C28" s="6" t="s">
        <v>32</v>
      </c>
      <c r="D28" s="6">
        <v>16</v>
      </c>
      <c r="E28" s="49">
        <v>1800</v>
      </c>
      <c r="F28" s="6">
        <v>8360</v>
      </c>
      <c r="G28" s="8" t="s">
        <v>33</v>
      </c>
      <c r="H28" s="5">
        <v>1</v>
      </c>
      <c r="I28" s="9">
        <f t="shared" si="0"/>
        <v>1890.0288</v>
      </c>
      <c r="J28" s="13" t="s">
        <v>34</v>
      </c>
      <c r="K28" t="s">
        <v>72</v>
      </c>
    </row>
    <row r="29" ht="22.5" customHeight="1" spans="1:11">
      <c r="A29" s="5">
        <v>24</v>
      </c>
      <c r="B29" s="5" t="s">
        <v>31</v>
      </c>
      <c r="C29" s="6" t="s">
        <v>32</v>
      </c>
      <c r="D29" s="6">
        <v>16</v>
      </c>
      <c r="E29" s="49">
        <v>1800</v>
      </c>
      <c r="F29" s="6">
        <v>8450</v>
      </c>
      <c r="G29" s="8" t="s">
        <v>33</v>
      </c>
      <c r="H29" s="5">
        <v>1</v>
      </c>
      <c r="I29" s="9">
        <f t="shared" si="0"/>
        <v>1910.376</v>
      </c>
      <c r="J29" s="13" t="s">
        <v>34</v>
      </c>
      <c r="K29" t="s">
        <v>72</v>
      </c>
    </row>
    <row r="30" ht="22.5" customHeight="1" spans="1:11">
      <c r="A30" s="5">
        <v>25</v>
      </c>
      <c r="B30" s="5" t="s">
        <v>31</v>
      </c>
      <c r="C30" s="6" t="s">
        <v>32</v>
      </c>
      <c r="D30" s="6">
        <v>16</v>
      </c>
      <c r="E30" s="49">
        <v>1800</v>
      </c>
      <c r="F30" s="6">
        <v>9070</v>
      </c>
      <c r="G30" s="8" t="s">
        <v>33</v>
      </c>
      <c r="H30" s="5">
        <v>1</v>
      </c>
      <c r="I30" s="9">
        <f t="shared" si="0"/>
        <v>2050.5456</v>
      </c>
      <c r="J30" s="13" t="s">
        <v>34</v>
      </c>
      <c r="K30" t="s">
        <v>72</v>
      </c>
    </row>
    <row r="31" ht="22.5" customHeight="1" spans="1:11">
      <c r="A31" s="5">
        <v>26</v>
      </c>
      <c r="B31" s="5" t="s">
        <v>31</v>
      </c>
      <c r="C31" s="6" t="s">
        <v>37</v>
      </c>
      <c r="D31" s="6">
        <v>16</v>
      </c>
      <c r="E31" s="49">
        <v>1800</v>
      </c>
      <c r="F31" s="6">
        <v>9230</v>
      </c>
      <c r="G31" s="8" t="s">
        <v>33</v>
      </c>
      <c r="H31" s="5">
        <v>2</v>
      </c>
      <c r="I31" s="9">
        <f t="shared" si="0"/>
        <v>4173.4368</v>
      </c>
      <c r="J31" s="13" t="s">
        <v>38</v>
      </c>
      <c r="K31" t="s">
        <v>72</v>
      </c>
    </row>
    <row r="32" ht="22.5" customHeight="1" spans="1:11">
      <c r="A32" s="5">
        <v>27</v>
      </c>
      <c r="B32" s="5" t="s">
        <v>31</v>
      </c>
      <c r="C32" s="6" t="s">
        <v>32</v>
      </c>
      <c r="D32" s="6">
        <v>16</v>
      </c>
      <c r="E32" s="49">
        <v>1800</v>
      </c>
      <c r="F32" s="6">
        <v>10640</v>
      </c>
      <c r="G32" s="8" t="s">
        <v>33</v>
      </c>
      <c r="H32" s="5">
        <v>1</v>
      </c>
      <c r="I32" s="9">
        <f t="shared" si="0"/>
        <v>2405.4912</v>
      </c>
      <c r="J32" s="13" t="s">
        <v>34</v>
      </c>
      <c r="K32" t="s">
        <v>72</v>
      </c>
    </row>
    <row r="33" ht="22.5" customHeight="1" spans="1:11">
      <c r="A33" s="5">
        <v>28</v>
      </c>
      <c r="B33" s="5" t="s">
        <v>31</v>
      </c>
      <c r="C33" s="6" t="s">
        <v>32</v>
      </c>
      <c r="D33" s="6">
        <v>16</v>
      </c>
      <c r="E33" s="49">
        <v>1800</v>
      </c>
      <c r="F33" s="6">
        <v>11660</v>
      </c>
      <c r="G33" s="8" t="s">
        <v>33</v>
      </c>
      <c r="H33" s="5">
        <v>1</v>
      </c>
      <c r="I33" s="9">
        <f t="shared" si="0"/>
        <v>2636.0928</v>
      </c>
      <c r="J33" s="13" t="s">
        <v>36</v>
      </c>
      <c r="K33" t="s">
        <v>72</v>
      </c>
    </row>
    <row r="34" ht="22.5" customHeight="1" spans="1:11">
      <c r="A34" s="5">
        <v>29</v>
      </c>
      <c r="B34" s="5" t="s">
        <v>31</v>
      </c>
      <c r="C34" s="6" t="s">
        <v>32</v>
      </c>
      <c r="D34" s="6">
        <v>16</v>
      </c>
      <c r="E34" s="49">
        <v>2000</v>
      </c>
      <c r="F34" s="6">
        <v>7799.99999999997</v>
      </c>
      <c r="G34" s="8" t="s">
        <v>33</v>
      </c>
      <c r="H34" s="5">
        <v>1</v>
      </c>
      <c r="I34" s="9">
        <f t="shared" si="0"/>
        <v>1959.35999999999</v>
      </c>
      <c r="J34" s="13" t="s">
        <v>36</v>
      </c>
      <c r="K34" t="s">
        <v>72</v>
      </c>
    </row>
    <row r="35" ht="22.5" customHeight="1" spans="1:11">
      <c r="A35" s="5">
        <v>30</v>
      </c>
      <c r="B35" s="5" t="s">
        <v>31</v>
      </c>
      <c r="C35" s="6" t="s">
        <v>32</v>
      </c>
      <c r="D35" s="6">
        <v>16</v>
      </c>
      <c r="E35" s="49">
        <v>2000</v>
      </c>
      <c r="F35" s="6">
        <v>11100</v>
      </c>
      <c r="G35" s="8" t="s">
        <v>33</v>
      </c>
      <c r="H35" s="5">
        <v>1</v>
      </c>
      <c r="I35" s="9">
        <f t="shared" si="0"/>
        <v>2788.32</v>
      </c>
      <c r="J35" s="13" t="s">
        <v>36</v>
      </c>
      <c r="K35" t="s">
        <v>72</v>
      </c>
    </row>
    <row r="36" ht="22.5" customHeight="1" spans="1:11">
      <c r="A36" s="5">
        <v>31</v>
      </c>
      <c r="B36" s="5" t="s">
        <v>31</v>
      </c>
      <c r="C36" s="6" t="s">
        <v>32</v>
      </c>
      <c r="D36" s="6">
        <v>16</v>
      </c>
      <c r="E36" s="49">
        <v>2000</v>
      </c>
      <c r="F36" s="6">
        <v>11800</v>
      </c>
      <c r="G36" s="8" t="s">
        <v>33</v>
      </c>
      <c r="H36" s="5">
        <v>1</v>
      </c>
      <c r="I36" s="9">
        <f t="shared" si="0"/>
        <v>2964.16</v>
      </c>
      <c r="J36" s="13" t="s">
        <v>36</v>
      </c>
      <c r="K36" t="s">
        <v>72</v>
      </c>
    </row>
    <row r="37" ht="22.5" customHeight="1" spans="1:11">
      <c r="A37" s="5">
        <v>32</v>
      </c>
      <c r="B37" s="5" t="s">
        <v>31</v>
      </c>
      <c r="C37" s="6" t="s">
        <v>32</v>
      </c>
      <c r="D37" s="6">
        <v>16</v>
      </c>
      <c r="E37" s="49">
        <v>2000</v>
      </c>
      <c r="F37" s="6">
        <v>12440</v>
      </c>
      <c r="G37" s="8" t="s">
        <v>33</v>
      </c>
      <c r="H37" s="5">
        <v>1</v>
      </c>
      <c r="I37" s="9">
        <f t="shared" si="0"/>
        <v>3124.928</v>
      </c>
      <c r="J37" s="13" t="s">
        <v>34</v>
      </c>
      <c r="K37" t="s">
        <v>72</v>
      </c>
    </row>
    <row r="38" ht="22.5" customHeight="1" spans="1:11">
      <c r="A38" s="5">
        <v>33</v>
      </c>
      <c r="B38" s="5" t="s">
        <v>31</v>
      </c>
      <c r="C38" s="6" t="s">
        <v>32</v>
      </c>
      <c r="D38" s="6">
        <v>16</v>
      </c>
      <c r="E38" s="49">
        <v>2000</v>
      </c>
      <c r="F38" s="6">
        <v>8200</v>
      </c>
      <c r="G38" s="8" t="s">
        <v>33</v>
      </c>
      <c r="H38" s="5">
        <v>1</v>
      </c>
      <c r="I38" s="9">
        <f t="shared" ref="I38:I60" si="1">E38*F38*D38*H38*7.85/1000000</f>
        <v>2059.84</v>
      </c>
      <c r="J38" s="13" t="s">
        <v>36</v>
      </c>
      <c r="K38" t="s">
        <v>72</v>
      </c>
    </row>
    <row r="39" ht="22.5" customHeight="1" spans="1:11">
      <c r="A39" s="5">
        <v>34</v>
      </c>
      <c r="B39" s="5" t="s">
        <v>31</v>
      </c>
      <c r="C39" s="6" t="s">
        <v>32</v>
      </c>
      <c r="D39" s="6">
        <v>16</v>
      </c>
      <c r="E39" s="49">
        <v>2000</v>
      </c>
      <c r="F39" s="6">
        <v>7650</v>
      </c>
      <c r="G39" s="8" t="s">
        <v>33</v>
      </c>
      <c r="H39" s="5">
        <v>1</v>
      </c>
      <c r="I39" s="9">
        <f t="shared" si="1"/>
        <v>1921.68</v>
      </c>
      <c r="J39" s="5" t="s">
        <v>35</v>
      </c>
      <c r="K39" t="s">
        <v>72</v>
      </c>
    </row>
    <row r="40" ht="22.5" customHeight="1" spans="1:11">
      <c r="A40" s="5">
        <v>35</v>
      </c>
      <c r="B40" s="5" t="s">
        <v>31</v>
      </c>
      <c r="C40" s="6" t="s">
        <v>32</v>
      </c>
      <c r="D40" s="6">
        <v>16</v>
      </c>
      <c r="E40" s="49">
        <v>2000</v>
      </c>
      <c r="F40" s="6">
        <v>9500</v>
      </c>
      <c r="G40" s="8" t="s">
        <v>33</v>
      </c>
      <c r="H40" s="5">
        <v>1</v>
      </c>
      <c r="I40" s="9">
        <f t="shared" si="1"/>
        <v>2386.4</v>
      </c>
      <c r="J40" s="13" t="s">
        <v>11</v>
      </c>
      <c r="K40" t="s">
        <v>72</v>
      </c>
    </row>
    <row r="41" ht="22.5" customHeight="1" spans="1:11">
      <c r="A41" s="5">
        <v>36</v>
      </c>
      <c r="B41" s="5" t="s">
        <v>31</v>
      </c>
      <c r="C41" s="6" t="s">
        <v>32</v>
      </c>
      <c r="D41" s="6">
        <v>16</v>
      </c>
      <c r="E41" s="49">
        <v>2000</v>
      </c>
      <c r="F41" s="6">
        <v>12570</v>
      </c>
      <c r="G41" s="8" t="s">
        <v>33</v>
      </c>
      <c r="H41" s="5">
        <v>1</v>
      </c>
      <c r="I41" s="9">
        <f t="shared" si="1"/>
        <v>3157.584</v>
      </c>
      <c r="J41" s="13" t="s">
        <v>36</v>
      </c>
      <c r="K41" t="s">
        <v>72</v>
      </c>
    </row>
    <row r="42" ht="22.5" customHeight="1" spans="1:11">
      <c r="A42" s="5">
        <v>37</v>
      </c>
      <c r="B42" s="5" t="s">
        <v>31</v>
      </c>
      <c r="C42" s="6" t="s">
        <v>32</v>
      </c>
      <c r="D42" s="6">
        <v>16</v>
      </c>
      <c r="E42" s="49">
        <v>2000</v>
      </c>
      <c r="F42" s="6">
        <v>10430</v>
      </c>
      <c r="G42" s="8" t="s">
        <v>33</v>
      </c>
      <c r="H42" s="5">
        <v>1</v>
      </c>
      <c r="I42" s="9">
        <f t="shared" si="1"/>
        <v>2620.016</v>
      </c>
      <c r="J42" s="5" t="s">
        <v>35</v>
      </c>
      <c r="K42" t="s">
        <v>72</v>
      </c>
    </row>
    <row r="43" ht="22.5" customHeight="1" spans="1:11">
      <c r="A43" s="5">
        <v>38</v>
      </c>
      <c r="B43" s="5" t="s">
        <v>31</v>
      </c>
      <c r="C43" s="6" t="s">
        <v>32</v>
      </c>
      <c r="D43" s="6">
        <v>16</v>
      </c>
      <c r="E43" s="49">
        <v>2000</v>
      </c>
      <c r="F43" s="6">
        <v>11210</v>
      </c>
      <c r="G43" s="8" t="s">
        <v>33</v>
      </c>
      <c r="H43" s="5">
        <v>1</v>
      </c>
      <c r="I43" s="9">
        <f t="shared" si="1"/>
        <v>2815.952</v>
      </c>
      <c r="J43" s="13" t="s">
        <v>11</v>
      </c>
      <c r="K43" t="s">
        <v>72</v>
      </c>
    </row>
    <row r="44" ht="22.5" customHeight="1" spans="1:11">
      <c r="A44" s="5">
        <v>39</v>
      </c>
      <c r="B44" s="5" t="s">
        <v>31</v>
      </c>
      <c r="C44" s="6" t="s">
        <v>32</v>
      </c>
      <c r="D44" s="6">
        <v>16</v>
      </c>
      <c r="E44" s="49">
        <v>2000</v>
      </c>
      <c r="F44" s="6">
        <v>6590</v>
      </c>
      <c r="G44" s="8" t="s">
        <v>33</v>
      </c>
      <c r="H44" s="5">
        <v>1</v>
      </c>
      <c r="I44" s="9">
        <f t="shared" si="1"/>
        <v>1655.408</v>
      </c>
      <c r="J44" s="13" t="s">
        <v>36</v>
      </c>
      <c r="K44" t="s">
        <v>72</v>
      </c>
    </row>
    <row r="45" ht="22.5" customHeight="1" spans="1:11">
      <c r="A45" s="5">
        <v>40</v>
      </c>
      <c r="B45" s="5" t="s">
        <v>31</v>
      </c>
      <c r="C45" s="6" t="s">
        <v>32</v>
      </c>
      <c r="D45" s="6">
        <v>16</v>
      </c>
      <c r="E45" s="49">
        <v>2000</v>
      </c>
      <c r="F45" s="6">
        <v>11150</v>
      </c>
      <c r="G45" s="8" t="s">
        <v>33</v>
      </c>
      <c r="H45" s="5">
        <v>1</v>
      </c>
      <c r="I45" s="9">
        <f t="shared" si="1"/>
        <v>2800.88</v>
      </c>
      <c r="J45" s="13" t="s">
        <v>11</v>
      </c>
      <c r="K45" t="s">
        <v>72</v>
      </c>
    </row>
    <row r="46" ht="22.5" customHeight="1" spans="1:11">
      <c r="A46" s="5">
        <v>41</v>
      </c>
      <c r="B46" s="5" t="s">
        <v>31</v>
      </c>
      <c r="C46" s="6" t="s">
        <v>32</v>
      </c>
      <c r="D46" s="6">
        <v>16</v>
      </c>
      <c r="E46" s="49">
        <v>2000</v>
      </c>
      <c r="F46" s="6">
        <v>11400</v>
      </c>
      <c r="G46" s="8" t="s">
        <v>33</v>
      </c>
      <c r="H46" s="5">
        <v>3</v>
      </c>
      <c r="I46" s="9">
        <f t="shared" si="1"/>
        <v>8591.04</v>
      </c>
      <c r="J46" s="13" t="s">
        <v>11</v>
      </c>
      <c r="K46" t="s">
        <v>72</v>
      </c>
    </row>
    <row r="47" ht="22.5" customHeight="1" spans="1:11">
      <c r="A47" s="5">
        <v>42</v>
      </c>
      <c r="B47" s="5" t="s">
        <v>31</v>
      </c>
      <c r="C47" s="6" t="s">
        <v>32</v>
      </c>
      <c r="D47" s="6">
        <v>16</v>
      </c>
      <c r="E47" s="49">
        <v>2000</v>
      </c>
      <c r="F47" s="6">
        <v>11480</v>
      </c>
      <c r="G47" s="8" t="s">
        <v>33</v>
      </c>
      <c r="H47" s="5">
        <v>1</v>
      </c>
      <c r="I47" s="9">
        <f t="shared" si="1"/>
        <v>2883.776</v>
      </c>
      <c r="J47" s="13" t="s">
        <v>11</v>
      </c>
      <c r="K47" t="s">
        <v>72</v>
      </c>
    </row>
    <row r="48" ht="22.5" customHeight="1" spans="1:11">
      <c r="A48" s="5">
        <v>43</v>
      </c>
      <c r="B48" s="5" t="s">
        <v>31</v>
      </c>
      <c r="C48" s="6" t="s">
        <v>32</v>
      </c>
      <c r="D48" s="6">
        <v>16</v>
      </c>
      <c r="E48" s="49">
        <v>2000</v>
      </c>
      <c r="F48" s="6">
        <v>12300</v>
      </c>
      <c r="G48" s="8" t="s">
        <v>33</v>
      </c>
      <c r="H48" s="5">
        <v>1</v>
      </c>
      <c r="I48" s="9">
        <f t="shared" si="1"/>
        <v>3089.76</v>
      </c>
      <c r="J48" s="13" t="s">
        <v>36</v>
      </c>
      <c r="K48" t="s">
        <v>72</v>
      </c>
    </row>
    <row r="49" ht="22.5" customHeight="1" spans="1:11">
      <c r="A49" s="5">
        <v>44</v>
      </c>
      <c r="B49" s="5" t="s">
        <v>31</v>
      </c>
      <c r="C49" s="6" t="s">
        <v>32</v>
      </c>
      <c r="D49" s="6">
        <v>16</v>
      </c>
      <c r="E49" s="49">
        <v>2000</v>
      </c>
      <c r="F49" s="6">
        <v>9720</v>
      </c>
      <c r="G49" s="8" t="s">
        <v>33</v>
      </c>
      <c r="H49" s="5">
        <v>5</v>
      </c>
      <c r="I49" s="9">
        <f t="shared" si="1"/>
        <v>12208.32</v>
      </c>
      <c r="J49" s="13" t="s">
        <v>19</v>
      </c>
      <c r="K49" t="s">
        <v>72</v>
      </c>
    </row>
    <row r="50" ht="22.5" customHeight="1" spans="1:11">
      <c r="A50" s="5">
        <v>45</v>
      </c>
      <c r="B50" s="5" t="s">
        <v>31</v>
      </c>
      <c r="C50" s="6" t="s">
        <v>32</v>
      </c>
      <c r="D50" s="6">
        <v>16</v>
      </c>
      <c r="E50" s="49">
        <v>2000</v>
      </c>
      <c r="F50" s="6">
        <v>7210</v>
      </c>
      <c r="G50" s="8" t="s">
        <v>33</v>
      </c>
      <c r="H50" s="5">
        <v>1</v>
      </c>
      <c r="I50" s="9">
        <f t="shared" si="1"/>
        <v>1811.152</v>
      </c>
      <c r="J50" s="5" t="s">
        <v>35</v>
      </c>
      <c r="K50" t="s">
        <v>72</v>
      </c>
    </row>
    <row r="51" ht="22.5" customHeight="1" spans="1:11">
      <c r="A51" s="5">
        <v>46</v>
      </c>
      <c r="B51" s="5" t="s">
        <v>31</v>
      </c>
      <c r="C51" s="6" t="s">
        <v>32</v>
      </c>
      <c r="D51" s="6">
        <v>16</v>
      </c>
      <c r="E51" s="49">
        <v>2000</v>
      </c>
      <c r="F51" s="6">
        <v>11260</v>
      </c>
      <c r="G51" s="8" t="s">
        <v>33</v>
      </c>
      <c r="H51" s="5">
        <v>1</v>
      </c>
      <c r="I51" s="9">
        <f t="shared" si="1"/>
        <v>2828.512</v>
      </c>
      <c r="J51" s="5" t="s">
        <v>35</v>
      </c>
      <c r="K51" t="s">
        <v>72</v>
      </c>
    </row>
    <row r="52" ht="22.5" customHeight="1" spans="1:11">
      <c r="A52" s="5">
        <v>47</v>
      </c>
      <c r="B52" s="5" t="s">
        <v>31</v>
      </c>
      <c r="C52" s="6" t="s">
        <v>32</v>
      </c>
      <c r="D52" s="6">
        <v>16</v>
      </c>
      <c r="E52" s="49">
        <v>2000</v>
      </c>
      <c r="F52" s="6">
        <v>8740</v>
      </c>
      <c r="G52" s="8" t="s">
        <v>33</v>
      </c>
      <c r="H52" s="5">
        <v>1</v>
      </c>
      <c r="I52" s="9">
        <f t="shared" si="1"/>
        <v>2195.488</v>
      </c>
      <c r="J52" s="13" t="s">
        <v>36</v>
      </c>
      <c r="K52" t="s">
        <v>72</v>
      </c>
    </row>
    <row r="53" ht="22.5" customHeight="1" spans="1:11">
      <c r="A53" s="5">
        <v>48</v>
      </c>
      <c r="B53" s="5" t="s">
        <v>31</v>
      </c>
      <c r="C53" s="6" t="s">
        <v>39</v>
      </c>
      <c r="D53" s="6">
        <v>16</v>
      </c>
      <c r="E53" s="49">
        <v>2000</v>
      </c>
      <c r="F53" s="6">
        <v>10800</v>
      </c>
      <c r="G53" s="8" t="s">
        <v>33</v>
      </c>
      <c r="H53" s="5">
        <v>1</v>
      </c>
      <c r="I53" s="9">
        <f t="shared" si="1"/>
        <v>2712.96</v>
      </c>
      <c r="J53" s="13" t="s">
        <v>38</v>
      </c>
      <c r="K53" t="s">
        <v>72</v>
      </c>
    </row>
    <row r="54" ht="22.5" customHeight="1" spans="1:11">
      <c r="A54" s="5">
        <v>49</v>
      </c>
      <c r="B54" s="5" t="s">
        <v>31</v>
      </c>
      <c r="C54" s="6" t="s">
        <v>32</v>
      </c>
      <c r="D54" s="6">
        <v>16</v>
      </c>
      <c r="E54" s="49">
        <v>2000</v>
      </c>
      <c r="F54" s="6">
        <v>9810</v>
      </c>
      <c r="G54" s="8" t="s">
        <v>33</v>
      </c>
      <c r="H54" s="5">
        <v>1</v>
      </c>
      <c r="I54" s="9">
        <f t="shared" si="1"/>
        <v>2464.272</v>
      </c>
      <c r="J54" s="13" t="s">
        <v>11</v>
      </c>
      <c r="K54" t="s">
        <v>72</v>
      </c>
    </row>
    <row r="55" ht="22.5" customHeight="1" spans="1:11">
      <c r="A55" s="5">
        <v>50</v>
      </c>
      <c r="B55" s="5" t="s">
        <v>31</v>
      </c>
      <c r="C55" s="6" t="s">
        <v>32</v>
      </c>
      <c r="D55" s="6">
        <v>16</v>
      </c>
      <c r="E55" s="49">
        <v>2000</v>
      </c>
      <c r="F55" s="6">
        <v>10760</v>
      </c>
      <c r="G55" s="8" t="s">
        <v>33</v>
      </c>
      <c r="H55" s="5">
        <v>2</v>
      </c>
      <c r="I55" s="9">
        <f t="shared" si="1"/>
        <v>5405.824</v>
      </c>
      <c r="J55" s="13" t="s">
        <v>11</v>
      </c>
      <c r="K55" t="s">
        <v>72</v>
      </c>
    </row>
    <row r="56" ht="22.5" customHeight="1" spans="1:11">
      <c r="A56" s="5">
        <v>51</v>
      </c>
      <c r="B56" s="5" t="s">
        <v>31</v>
      </c>
      <c r="C56" s="6" t="s">
        <v>32</v>
      </c>
      <c r="D56" s="6">
        <v>16</v>
      </c>
      <c r="E56" s="49">
        <v>2000</v>
      </c>
      <c r="F56" s="6">
        <v>10930</v>
      </c>
      <c r="G56" s="8" t="s">
        <v>33</v>
      </c>
      <c r="H56" s="5">
        <v>1</v>
      </c>
      <c r="I56" s="9">
        <f t="shared" si="1"/>
        <v>2745.616</v>
      </c>
      <c r="J56" s="13" t="s">
        <v>11</v>
      </c>
      <c r="K56" t="s">
        <v>72</v>
      </c>
    </row>
    <row r="57" ht="22.5" customHeight="1" spans="1:11">
      <c r="A57" s="5">
        <v>52</v>
      </c>
      <c r="B57" s="5" t="s">
        <v>31</v>
      </c>
      <c r="C57" s="6" t="s">
        <v>32</v>
      </c>
      <c r="D57" s="6">
        <v>16</v>
      </c>
      <c r="E57" s="49">
        <v>2000</v>
      </c>
      <c r="F57" s="6">
        <v>11080</v>
      </c>
      <c r="G57" s="8" t="s">
        <v>33</v>
      </c>
      <c r="H57" s="5">
        <v>1</v>
      </c>
      <c r="I57" s="9">
        <f t="shared" si="1"/>
        <v>2783.296</v>
      </c>
      <c r="J57" s="13" t="s">
        <v>11</v>
      </c>
      <c r="K57" t="s">
        <v>72</v>
      </c>
    </row>
    <row r="58" ht="22.5" customHeight="1" spans="1:11">
      <c r="A58" s="5">
        <v>53</v>
      </c>
      <c r="B58" s="5" t="s">
        <v>31</v>
      </c>
      <c r="C58" s="6" t="s">
        <v>32</v>
      </c>
      <c r="D58" s="6">
        <v>16</v>
      </c>
      <c r="E58" s="49">
        <v>2000</v>
      </c>
      <c r="F58" s="6">
        <v>11130</v>
      </c>
      <c r="G58" s="8" t="s">
        <v>33</v>
      </c>
      <c r="H58" s="5">
        <v>1</v>
      </c>
      <c r="I58" s="9">
        <f t="shared" si="1"/>
        <v>2795.856</v>
      </c>
      <c r="J58" s="13" t="s">
        <v>11</v>
      </c>
      <c r="K58" t="s">
        <v>72</v>
      </c>
    </row>
    <row r="59" ht="22.5" customHeight="1" spans="1:11">
      <c r="A59" s="5">
        <v>54</v>
      </c>
      <c r="B59" s="5" t="s">
        <v>31</v>
      </c>
      <c r="C59" s="6" t="s">
        <v>32</v>
      </c>
      <c r="D59" s="6">
        <v>16</v>
      </c>
      <c r="E59" s="49">
        <v>2000</v>
      </c>
      <c r="F59" s="6">
        <v>11700</v>
      </c>
      <c r="G59" s="8" t="s">
        <v>33</v>
      </c>
      <c r="H59" s="5">
        <v>1</v>
      </c>
      <c r="I59" s="9">
        <f t="shared" si="1"/>
        <v>2939.04</v>
      </c>
      <c r="J59" s="13" t="s">
        <v>11</v>
      </c>
      <c r="K59" t="s">
        <v>72</v>
      </c>
    </row>
    <row r="60" ht="22.5" customHeight="1" spans="1:12">
      <c r="A60" s="5">
        <v>55</v>
      </c>
      <c r="B60" s="5" t="s">
        <v>31</v>
      </c>
      <c r="C60" s="6" t="s">
        <v>32</v>
      </c>
      <c r="D60" s="6">
        <v>16</v>
      </c>
      <c r="E60" s="49">
        <v>2000</v>
      </c>
      <c r="F60" s="6">
        <v>11900</v>
      </c>
      <c r="G60" s="8" t="s">
        <v>33</v>
      </c>
      <c r="H60" s="5">
        <v>1</v>
      </c>
      <c r="I60" s="9">
        <f t="shared" si="1"/>
        <v>2989.28</v>
      </c>
      <c r="J60" s="13" t="s">
        <v>11</v>
      </c>
      <c r="K60" t="s">
        <v>72</v>
      </c>
      <c r="L60">
        <f>SUM(I9:I60)</f>
        <v>154158.676800001</v>
      </c>
    </row>
    <row r="61" ht="22.5" customHeight="1" spans="1:10">
      <c r="A61" s="5" t="s">
        <v>40</v>
      </c>
      <c r="B61" s="5"/>
      <c r="C61" s="5"/>
      <c r="D61" s="5"/>
      <c r="E61" s="5"/>
      <c r="F61" s="5"/>
      <c r="G61" s="5"/>
      <c r="H61" s="5"/>
      <c r="I61" s="149">
        <f>SUM(I6:I60)</f>
        <v>161169.229200001</v>
      </c>
      <c r="J61" s="13"/>
    </row>
    <row r="62" ht="22.5" customHeight="1" spans="1:10">
      <c r="A62" s="22" t="s">
        <v>41</v>
      </c>
      <c r="B62" s="22"/>
      <c r="C62" s="22"/>
      <c r="D62" s="22"/>
      <c r="E62" s="22"/>
      <c r="F62" s="22"/>
      <c r="G62" s="22"/>
      <c r="H62" s="22"/>
      <c r="I62" s="22"/>
      <c r="J62" s="22"/>
    </row>
    <row r="63" ht="22.5" customHeight="1" spans="1:10">
      <c r="A63" s="22" t="s">
        <v>73</v>
      </c>
      <c r="B63" s="22"/>
      <c r="C63" s="22"/>
      <c r="D63" s="22"/>
      <c r="E63" s="22"/>
      <c r="F63" s="22"/>
      <c r="G63" s="22"/>
      <c r="H63" s="22"/>
      <c r="I63" s="22"/>
      <c r="J63" s="22"/>
    </row>
    <row r="64" ht="30" customHeight="1" spans="1:10">
      <c r="A64" s="16" t="s">
        <v>74</v>
      </c>
      <c r="B64" s="17"/>
      <c r="C64" s="17"/>
      <c r="D64" s="17"/>
      <c r="E64" s="17"/>
      <c r="F64" s="17"/>
      <c r="G64" s="17"/>
      <c r="H64" s="17"/>
      <c r="I64" s="17"/>
      <c r="J64" s="17"/>
    </row>
  </sheetData>
  <autoFilter ref="A5:J64">
    <extLst/>
  </autoFilter>
  <mergeCells count="7">
    <mergeCell ref="A1:J1"/>
    <mergeCell ref="A2:J2"/>
    <mergeCell ref="A3:F3"/>
    <mergeCell ref="A61:H61"/>
    <mergeCell ref="A62:J62"/>
    <mergeCell ref="A63:J63"/>
    <mergeCell ref="A64:J64"/>
  </mergeCells>
  <pageMargins left="0.751388888888889" right="0.751388888888889" top="1" bottom="1" header="0.5" footer="0.5"/>
  <pageSetup paperSize="9" scale="70" fitToHeight="0" orientation="portrait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45</vt:i4>
      </vt:variant>
    </vt:vector>
  </HeadingPairs>
  <TitlesOfParts>
    <vt:vector size="45" baseType="lpstr">
      <vt:lpstr>设计图</vt:lpstr>
      <vt:lpstr>估料单D1-1</vt:lpstr>
      <vt:lpstr>估料单D1-2</vt:lpstr>
      <vt:lpstr>估料单D1-3</vt:lpstr>
      <vt:lpstr>估料单D1-4</vt:lpstr>
      <vt:lpstr>估料单D2-1</vt:lpstr>
      <vt:lpstr>估料单D2-2 </vt:lpstr>
      <vt:lpstr>汇总表</vt:lpstr>
      <vt:lpstr>估料单D1-1 (修正)</vt:lpstr>
      <vt:lpstr>估料单D1-2 (修正)</vt:lpstr>
      <vt:lpstr>估料单D1-3 (修正)</vt:lpstr>
      <vt:lpstr>估料单D1-4 (修正)</vt:lpstr>
      <vt:lpstr>估料单D2-1 (修正)</vt:lpstr>
      <vt:lpstr>估料单D2-2  (修正)</vt:lpstr>
      <vt:lpstr>第11-17联 (汇总)</vt:lpstr>
      <vt:lpstr>新D栈道</vt:lpstr>
      <vt:lpstr>旧D栈道</vt:lpstr>
      <vt:lpstr>隔板汇总</vt:lpstr>
      <vt:lpstr>嵌补</vt:lpstr>
      <vt:lpstr>隔板统计</vt:lpstr>
      <vt:lpstr>D桥估料表</vt:lpstr>
      <vt:lpstr>腹板侧边板统计</vt:lpstr>
      <vt:lpstr>A</vt:lpstr>
      <vt:lpstr>D1估料单</vt:lpstr>
      <vt:lpstr>排版</vt:lpstr>
      <vt:lpstr>嵌补估料单3.14</vt:lpstr>
      <vt:lpstr>D2估料单</vt:lpstr>
      <vt:lpstr>D3估料单</vt:lpstr>
      <vt:lpstr>D4估料单</vt:lpstr>
      <vt:lpstr>D7估料单</vt:lpstr>
      <vt:lpstr>D8估料单 </vt:lpstr>
      <vt:lpstr>D9估料单</vt:lpstr>
      <vt:lpstr>D10估料单</vt:lpstr>
      <vt:lpstr>D11估料单 </vt:lpstr>
      <vt:lpstr>D12估料单 </vt:lpstr>
      <vt:lpstr>D13估料单 </vt:lpstr>
      <vt:lpstr>D14估料单 </vt:lpstr>
      <vt:lpstr>D15估料单</vt:lpstr>
      <vt:lpstr>D16估料单 </vt:lpstr>
      <vt:lpstr>D17估料单</vt:lpstr>
      <vt:lpstr>D18估料单 </vt:lpstr>
      <vt:lpstr>A1估料单</vt:lpstr>
      <vt:lpstr>Sheet1</vt:lpstr>
      <vt:lpstr>D2-18</vt:lpstr>
      <vt:lpstr>WpsReserved_CellImgList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2018-06-02T16:28:00Z</dcterms:created>
  <cp:lastPrinted>2023-07-19T00:15:00Z</cp:lastPrinted>
  <dcterms:modified xsi:type="dcterms:W3CDTF">2024-04-17T00:47:03Z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/>
  </property>
  <property fmtid="{D5CDD505-2E9C-101B-9397-08002B2CF9AE}" pid="4" name="KSOReadingLayout">
    <vt:bool>true</vt:bool>
  </property>
</Properties>
</file>